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70" windowHeight="8535" tabRatio="599" activeTab="1"/>
  </bookViews>
  <sheets>
    <sheet name="LM17T" sheetId="1" r:id="rId1"/>
    <sheet name="Transistor" sheetId="2" r:id="rId2"/>
  </sheets>
  <definedNames/>
  <calcPr fullCalcOnLoad="1"/>
</workbook>
</file>

<file path=xl/sharedStrings.xml><?xml version="1.0" encoding="utf-8"?>
<sst xmlns="http://schemas.openxmlformats.org/spreadsheetml/2006/main" count="438" uniqueCount="263">
  <si>
    <t>V</t>
  </si>
  <si>
    <t>倍</t>
  </si>
  <si>
    <t>kΩ</t>
  </si>
  <si>
    <t>プレート電圧</t>
  </si>
  <si>
    <t>プレート損失</t>
  </si>
  <si>
    <t>Ω</t>
  </si>
  <si>
    <t>初段</t>
  </si>
  <si>
    <t>倍</t>
  </si>
  <si>
    <t>V</t>
  </si>
  <si>
    <t>プレート負荷抵抗電圧降下</t>
  </si>
  <si>
    <t>V</t>
  </si>
  <si>
    <t>プレート～アース間電圧</t>
  </si>
  <si>
    <t>V</t>
  </si>
  <si>
    <t>定電流特性</t>
  </si>
  <si>
    <t>mA</t>
  </si>
  <si>
    <t>mA</t>
  </si>
  <si>
    <t>プレート負荷抵抗</t>
  </si>
  <si>
    <t>交流負荷抵抗</t>
  </si>
  <si>
    <t>倍</t>
  </si>
  <si>
    <t>出力段</t>
  </si>
  <si>
    <t>グリッド抵抗</t>
  </si>
  <si>
    <t>プレート～アース間電圧</t>
  </si>
  <si>
    <t>Ω</t>
  </si>
  <si>
    <t>W</t>
  </si>
  <si>
    <t>定電流回路</t>
  </si>
  <si>
    <t>W</t>
  </si>
  <si>
    <t>mA</t>
  </si>
  <si>
    <t>整流出力電圧</t>
  </si>
  <si>
    <t>V</t>
  </si>
  <si>
    <t>Ω</t>
  </si>
  <si>
    <t>W</t>
  </si>
  <si>
    <t>V</t>
  </si>
  <si>
    <t>Ω</t>
  </si>
  <si>
    <t>順方向電圧</t>
  </si>
  <si>
    <t>V</t>
  </si>
  <si>
    <t>個</t>
  </si>
  <si>
    <t>マイナス電源</t>
  </si>
  <si>
    <t>Rb3</t>
  </si>
  <si>
    <t>mA</t>
  </si>
  <si>
    <t>初段全消費電流</t>
  </si>
  <si>
    <t>全消費電流</t>
  </si>
  <si>
    <t>mA</t>
  </si>
  <si>
    <t>出力段全消費電流</t>
  </si>
  <si>
    <r>
      <t>増幅率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μ</t>
    </r>
    <r>
      <rPr>
        <sz val="9"/>
        <rFont val="Times New Roman"/>
        <family val="1"/>
      </rPr>
      <t>)</t>
    </r>
  </si>
  <si>
    <r>
      <t>B2+</t>
    </r>
    <r>
      <rPr>
        <sz val="9"/>
        <rFont val="ＭＳ Ｐゴシック"/>
        <family val="3"/>
      </rPr>
      <t>電源電圧</t>
    </r>
  </si>
  <si>
    <r>
      <t>内部抵抗</t>
    </r>
    <r>
      <rPr>
        <sz val="9"/>
        <rFont val="Times New Roman"/>
        <family val="1"/>
      </rPr>
      <t>(rp)</t>
    </r>
  </si>
  <si>
    <r>
      <t>k</t>
    </r>
    <r>
      <rPr>
        <sz val="9"/>
        <rFont val="ＭＳ Ｐゴシック"/>
        <family val="3"/>
      </rPr>
      <t>Ω</t>
    </r>
  </si>
  <si>
    <r>
      <t>1</t>
    </r>
    <r>
      <rPr>
        <sz val="9"/>
        <rFont val="ＭＳ Ｐゴシック"/>
        <family val="3"/>
      </rPr>
      <t>管あたりプレート電流</t>
    </r>
  </si>
  <si>
    <r>
      <t>k</t>
    </r>
    <r>
      <rPr>
        <sz val="9"/>
        <rFont val="ＭＳ Ｐゴシック"/>
        <family val="3"/>
      </rPr>
      <t>Ω</t>
    </r>
  </si>
  <si>
    <r>
      <t>k</t>
    </r>
    <r>
      <rPr>
        <sz val="9"/>
        <rFont val="ＭＳ Ｐゴシック"/>
        <family val="3"/>
      </rPr>
      <t>Ω</t>
    </r>
  </si>
  <si>
    <r>
      <t>B1+</t>
    </r>
    <r>
      <rPr>
        <sz val="9"/>
        <rFont val="ＭＳ Ｐゴシック"/>
        <family val="3"/>
      </rPr>
      <t>電源電圧</t>
    </r>
  </si>
  <si>
    <r>
      <t>k</t>
    </r>
    <r>
      <rPr>
        <sz val="9"/>
        <rFont val="ＭＳ Ｐゴシック"/>
        <family val="3"/>
      </rPr>
      <t>Ω</t>
    </r>
  </si>
  <si>
    <r>
      <t>1</t>
    </r>
    <r>
      <rPr>
        <sz val="9"/>
        <rFont val="ＭＳ Ｐゴシック"/>
        <family val="3"/>
      </rPr>
      <t>管あたりプレート電流</t>
    </r>
  </si>
  <si>
    <r>
      <t>OPT</t>
    </r>
    <r>
      <rPr>
        <sz val="9"/>
        <rFont val="ＭＳ Ｐゴシック"/>
        <family val="3"/>
      </rPr>
      <t>電圧降下</t>
    </r>
  </si>
  <si>
    <r>
      <t>k</t>
    </r>
    <r>
      <rPr>
        <sz val="9"/>
        <rFont val="ＭＳ Ｐゴシック"/>
        <family val="3"/>
      </rPr>
      <t>Ω</t>
    </r>
  </si>
  <si>
    <r>
      <t>Rb1</t>
    </r>
    <r>
      <rPr>
        <sz val="9"/>
        <rFont val="ＭＳ Ｐゴシック"/>
        <family val="3"/>
      </rPr>
      <t>電圧降下</t>
    </r>
  </si>
  <si>
    <r>
      <t>Rb1</t>
    </r>
    <r>
      <rPr>
        <sz val="9"/>
        <rFont val="ＭＳ Ｐゴシック"/>
        <family val="3"/>
      </rPr>
      <t>消費電力</t>
    </r>
  </si>
  <si>
    <r>
      <t>Rb1</t>
    </r>
    <r>
      <rPr>
        <sz val="9"/>
        <rFont val="ＭＳ Ｐゴシック"/>
        <family val="3"/>
      </rPr>
      <t>後電圧</t>
    </r>
  </si>
  <si>
    <r>
      <t>Rb2</t>
    </r>
    <r>
      <rPr>
        <sz val="9"/>
        <rFont val="ＭＳ Ｐゴシック"/>
        <family val="3"/>
      </rPr>
      <t>電圧降下</t>
    </r>
  </si>
  <si>
    <r>
      <t>Rb2</t>
    </r>
    <r>
      <rPr>
        <sz val="9"/>
        <rFont val="ＭＳ Ｐゴシック"/>
        <family val="3"/>
      </rPr>
      <t>消費電力</t>
    </r>
  </si>
  <si>
    <r>
      <t>Rb2</t>
    </r>
    <r>
      <rPr>
        <sz val="9"/>
        <rFont val="ＭＳ Ｐゴシック"/>
        <family val="3"/>
      </rPr>
      <t>後電圧</t>
    </r>
  </si>
  <si>
    <r>
      <t>B1+</t>
    </r>
    <r>
      <rPr>
        <sz val="9"/>
        <rFont val="ＭＳ Ｐゴシック"/>
        <family val="3"/>
      </rPr>
      <t>電圧</t>
    </r>
  </si>
  <si>
    <r>
      <t>Rb3</t>
    </r>
    <r>
      <rPr>
        <sz val="9"/>
        <rFont val="ＭＳ Ｐゴシック"/>
        <family val="3"/>
      </rPr>
      <t>電圧降下</t>
    </r>
  </si>
  <si>
    <r>
      <t>B2+</t>
    </r>
    <r>
      <rPr>
        <sz val="9"/>
        <rFont val="ＭＳ Ｐゴシック"/>
        <family val="3"/>
      </rPr>
      <t>電圧</t>
    </r>
  </si>
  <si>
    <r>
      <t>B2+</t>
    </r>
    <r>
      <rPr>
        <sz val="9"/>
        <rFont val="ＭＳ Ｐゴシック"/>
        <family val="3"/>
      </rPr>
      <t>ブリーダ電流</t>
    </r>
  </si>
  <si>
    <r>
      <t>B2+</t>
    </r>
    <r>
      <rPr>
        <sz val="9"/>
        <rFont val="ＭＳ Ｐゴシック"/>
        <family val="3"/>
      </rPr>
      <t>ブリーダ抵抗</t>
    </r>
  </si>
  <si>
    <r>
      <t>B2+</t>
    </r>
    <r>
      <rPr>
        <sz val="9"/>
        <rFont val="ＭＳ Ｐゴシック"/>
        <family val="3"/>
      </rPr>
      <t>ブリーダ抵抗消費電力</t>
    </r>
  </si>
  <si>
    <t>利得・出力</t>
  </si>
  <si>
    <t>出力トランス1次インピーダンス</t>
  </si>
  <si>
    <r>
      <t>k</t>
    </r>
    <r>
      <rPr>
        <sz val="9"/>
        <rFont val="ＭＳ Ｐ明朝"/>
        <family val="1"/>
      </rPr>
      <t>Ω</t>
    </r>
  </si>
  <si>
    <t>出力トランス電力ロス</t>
  </si>
  <si>
    <t>W</t>
  </si>
  <si>
    <t>出力トランス2次インピーダンス</t>
  </si>
  <si>
    <t>最大出力時初段入力</t>
  </si>
  <si>
    <t>無帰還時総合利得</t>
  </si>
  <si>
    <t>負帰還抵抗(出力側)</t>
  </si>
  <si>
    <t>負帰還抵抗(入力側)</t>
  </si>
  <si>
    <t>負帰還時総合利得</t>
  </si>
  <si>
    <t>負帰還量</t>
  </si>
  <si>
    <t>出力トランス直流抵抗</t>
  </si>
  <si>
    <t>-20V</t>
  </si>
  <si>
    <t>-30V</t>
  </si>
  <si>
    <t>0V</t>
  </si>
  <si>
    <t>-0.5V</t>
  </si>
  <si>
    <t>-1V</t>
  </si>
  <si>
    <t>-1.5V</t>
  </si>
  <si>
    <t>-2V</t>
  </si>
  <si>
    <t>-2.5V</t>
  </si>
  <si>
    <t>-3V</t>
  </si>
  <si>
    <t>動作点</t>
  </si>
  <si>
    <t>AC-Load</t>
  </si>
  <si>
    <t>DC-load</t>
  </si>
  <si>
    <t>Ip</t>
  </si>
  <si>
    <t>-40V</t>
  </si>
  <si>
    <t>-50V</t>
  </si>
  <si>
    <t>-60V</t>
  </si>
  <si>
    <t>出力管最大プレート損失</t>
  </si>
  <si>
    <t>W</t>
  </si>
  <si>
    <t>P損失</t>
  </si>
  <si>
    <t>6SL7GT</t>
  </si>
  <si>
    <t>6SC7</t>
  </si>
  <si>
    <t>電源トランス</t>
  </si>
  <si>
    <r>
      <t>バイアス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ロードラインより</t>
    </r>
    <r>
      <rPr>
        <sz val="9"/>
        <rFont val="Times New Roman"/>
        <family val="1"/>
      </rPr>
      <t>)</t>
    </r>
  </si>
  <si>
    <t>-15V</t>
  </si>
  <si>
    <t>-45V</t>
  </si>
  <si>
    <t>AC100V</t>
  </si>
  <si>
    <t>V</t>
  </si>
  <si>
    <t>ADJ抵抗</t>
  </si>
  <si>
    <t>LM317T損失</t>
  </si>
  <si>
    <t>ADJ抵抗消費電力</t>
  </si>
  <si>
    <t>電源トランス2次電圧</t>
  </si>
  <si>
    <t>電源トランス2次定格電流</t>
  </si>
  <si>
    <t>mA</t>
  </si>
  <si>
    <t>Ω</t>
  </si>
  <si>
    <t>Rb0</t>
  </si>
  <si>
    <t>電源回路</t>
  </si>
  <si>
    <t>電灯線</t>
  </si>
  <si>
    <t>LM317T ADJ電圧（固定）</t>
  </si>
  <si>
    <t>初段利得</t>
  </si>
  <si>
    <r>
      <t>3</t>
    </r>
    <r>
      <rPr>
        <sz val="10"/>
        <rFont val="ＭＳ Ｐ明朝"/>
        <family val="1"/>
      </rPr>
      <t>端子レギュレータ（</t>
    </r>
    <r>
      <rPr>
        <sz val="10"/>
        <rFont val="Times New Roman"/>
        <family val="1"/>
      </rPr>
      <t>LM317T</t>
    </r>
    <r>
      <rPr>
        <sz val="10"/>
        <rFont val="ＭＳ Ｐ明朝"/>
        <family val="1"/>
      </rPr>
      <t>）式定電流回路</t>
    </r>
  </si>
  <si>
    <t>ツェナ電圧</t>
  </si>
  <si>
    <t>V</t>
  </si>
  <si>
    <t>エミッタ～アース間電圧</t>
  </si>
  <si>
    <t>V</t>
  </si>
  <si>
    <t>エミッタ抵抗消費電力</t>
  </si>
  <si>
    <t>W</t>
  </si>
  <si>
    <r>
      <t>トランジスタ</t>
    </r>
    <r>
      <rPr>
        <sz val="9"/>
        <rFont val="Times New Roman"/>
        <family val="1"/>
      </rPr>
      <t>VBE</t>
    </r>
  </si>
  <si>
    <t>V</t>
  </si>
  <si>
    <t>mA</t>
  </si>
  <si>
    <t>Ω</t>
  </si>
  <si>
    <t>mA</t>
  </si>
  <si>
    <r>
      <t>トランジスタ</t>
    </r>
    <r>
      <rPr>
        <sz val="9"/>
        <rFont val="Times New Roman"/>
        <family val="1"/>
      </rPr>
      <t>C-E</t>
    </r>
    <r>
      <rPr>
        <sz val="9"/>
        <rFont val="ＭＳ Ｐゴシック"/>
        <family val="3"/>
      </rPr>
      <t>間電圧</t>
    </r>
    <r>
      <rPr>
        <sz val="9"/>
        <rFont val="Times New Roman"/>
        <family val="1"/>
      </rPr>
      <t>(Vc-e)</t>
    </r>
  </si>
  <si>
    <t>mA</t>
  </si>
  <si>
    <t>mA</t>
  </si>
  <si>
    <t>W</t>
  </si>
  <si>
    <r>
      <t>トランジスタコレクタ電流</t>
    </r>
    <r>
      <rPr>
        <sz val="9"/>
        <rFont val="Times New Roman"/>
        <family val="1"/>
      </rPr>
      <t>(Ic)</t>
    </r>
  </si>
  <si>
    <t>トランジスタ式定電流回路</t>
  </si>
  <si>
    <t>6SL7GT</t>
  </si>
  <si>
    <t>6SC7</t>
  </si>
  <si>
    <t>Ip</t>
  </si>
  <si>
    <t>DC-load</t>
  </si>
  <si>
    <t>AC-Load</t>
  </si>
  <si>
    <t>動作点</t>
  </si>
  <si>
    <t>0V</t>
  </si>
  <si>
    <t>-0.5V</t>
  </si>
  <si>
    <t>-1V</t>
  </si>
  <si>
    <t>-1.5V</t>
  </si>
  <si>
    <t>-2V</t>
  </si>
  <si>
    <t>-2.5V</t>
  </si>
  <si>
    <t>-3V</t>
  </si>
  <si>
    <t>初段</t>
  </si>
  <si>
    <r>
      <t>増幅率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μ</t>
    </r>
    <r>
      <rPr>
        <sz val="9"/>
        <rFont val="Times New Roman"/>
        <family val="1"/>
      </rPr>
      <t>)</t>
    </r>
  </si>
  <si>
    <r>
      <t>B2+</t>
    </r>
    <r>
      <rPr>
        <sz val="9"/>
        <rFont val="ＭＳ Ｐゴシック"/>
        <family val="3"/>
      </rPr>
      <t>電源電圧</t>
    </r>
  </si>
  <si>
    <r>
      <t>k</t>
    </r>
    <r>
      <rPr>
        <sz val="9"/>
        <rFont val="ＭＳ Ｐゴシック"/>
        <family val="3"/>
      </rPr>
      <t>Ω</t>
    </r>
  </si>
  <si>
    <t>プレート負荷抵抗電圧降下</t>
  </si>
  <si>
    <r>
      <t>1</t>
    </r>
    <r>
      <rPr>
        <sz val="9"/>
        <rFont val="ＭＳ Ｐゴシック"/>
        <family val="3"/>
      </rPr>
      <t>管あたりプレート電流</t>
    </r>
  </si>
  <si>
    <r>
      <t>k</t>
    </r>
    <r>
      <rPr>
        <sz val="9"/>
        <rFont val="ＭＳ Ｐゴシック"/>
        <family val="3"/>
      </rPr>
      <t>Ω</t>
    </r>
  </si>
  <si>
    <t>交流負荷抵抗</t>
  </si>
  <si>
    <r>
      <t>k</t>
    </r>
    <r>
      <rPr>
        <sz val="9"/>
        <rFont val="ＭＳ Ｐゴシック"/>
        <family val="3"/>
      </rPr>
      <t>Ω</t>
    </r>
  </si>
  <si>
    <t>初段利得</t>
  </si>
  <si>
    <t>倍</t>
  </si>
  <si>
    <r>
      <t>内部抵抗</t>
    </r>
    <r>
      <rPr>
        <sz val="9"/>
        <rFont val="Times New Roman"/>
        <family val="1"/>
      </rPr>
      <t>(rp)</t>
    </r>
  </si>
  <si>
    <r>
      <t>k</t>
    </r>
    <r>
      <rPr>
        <sz val="9"/>
        <rFont val="ＭＳ Ｐゴシック"/>
        <family val="3"/>
      </rPr>
      <t>Ω</t>
    </r>
  </si>
  <si>
    <r>
      <t>B1+</t>
    </r>
    <r>
      <rPr>
        <sz val="9"/>
        <rFont val="ＭＳ Ｐゴシック"/>
        <family val="3"/>
      </rPr>
      <t>電源電圧</t>
    </r>
  </si>
  <si>
    <t>出力トランス直流抵抗</t>
  </si>
  <si>
    <t>定電流特性</t>
  </si>
  <si>
    <r>
      <t>バイアス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ロードラインより</t>
    </r>
    <r>
      <rPr>
        <sz val="9"/>
        <rFont val="Times New Roman"/>
        <family val="1"/>
      </rPr>
      <t>)</t>
    </r>
  </si>
  <si>
    <t>出力管最大プレート損失</t>
  </si>
  <si>
    <t>W</t>
  </si>
  <si>
    <r>
      <t>OPT</t>
    </r>
    <r>
      <rPr>
        <sz val="9"/>
        <rFont val="ＭＳ Ｐゴシック"/>
        <family val="3"/>
      </rPr>
      <t>電圧降下</t>
    </r>
  </si>
  <si>
    <t>V</t>
  </si>
  <si>
    <t>利得・出力</t>
  </si>
  <si>
    <r>
      <t>k</t>
    </r>
    <r>
      <rPr>
        <sz val="9"/>
        <rFont val="ＭＳ Ｐ明朝"/>
        <family val="1"/>
      </rPr>
      <t>Ω</t>
    </r>
  </si>
  <si>
    <t>W</t>
  </si>
  <si>
    <t>最大出力時初段入力</t>
  </si>
  <si>
    <t>出力トランス電力ロス</t>
  </si>
  <si>
    <t>W</t>
  </si>
  <si>
    <t>無帰還時総合利得</t>
  </si>
  <si>
    <t>出力トランス2次インピーダンス</t>
  </si>
  <si>
    <t>負帰還時総合利得</t>
  </si>
  <si>
    <t>負帰還抵抗(出力側)</t>
  </si>
  <si>
    <t>kΩ</t>
  </si>
  <si>
    <t>負帰還抵抗(入力側)</t>
  </si>
  <si>
    <t>定電流回路</t>
  </si>
  <si>
    <r>
      <t>トランジスタエミッタ電流</t>
    </r>
    <r>
      <rPr>
        <sz val="9"/>
        <rFont val="Times New Roman"/>
        <family val="1"/>
      </rPr>
      <t>(Ie)</t>
    </r>
  </si>
  <si>
    <t>エミッタ抵抗</t>
  </si>
  <si>
    <r>
      <t>ツェナ電流</t>
    </r>
    <r>
      <rPr>
        <sz val="9"/>
        <rFont val="Times New Roman"/>
        <family val="1"/>
      </rPr>
      <t>(Iz)</t>
    </r>
  </si>
  <si>
    <r>
      <t>トランジスタベース電流</t>
    </r>
    <r>
      <rPr>
        <sz val="9"/>
        <rFont val="Times New Roman"/>
        <family val="1"/>
      </rPr>
      <t>(Ib)</t>
    </r>
  </si>
  <si>
    <t>トランジスタコレクタ損失</t>
  </si>
  <si>
    <t>倍</t>
  </si>
  <si>
    <t>定電流特性</t>
  </si>
  <si>
    <t>電源トランス</t>
  </si>
  <si>
    <t>V</t>
  </si>
  <si>
    <t>Ω</t>
  </si>
  <si>
    <t>整流出力電圧</t>
  </si>
  <si>
    <t>mA</t>
  </si>
  <si>
    <t>電源回路</t>
  </si>
  <si>
    <t>Rb0</t>
  </si>
  <si>
    <t>Ω</t>
  </si>
  <si>
    <t>Ip</t>
  </si>
  <si>
    <t>AC-Load</t>
  </si>
  <si>
    <t>動作点</t>
  </si>
  <si>
    <t>-10V</t>
  </si>
  <si>
    <r>
      <t>Rb1</t>
    </r>
    <r>
      <rPr>
        <sz val="9"/>
        <rFont val="ＭＳ Ｐゴシック"/>
        <family val="3"/>
      </rPr>
      <t>電圧降下</t>
    </r>
  </si>
  <si>
    <r>
      <t>Rb1</t>
    </r>
    <r>
      <rPr>
        <sz val="9"/>
        <rFont val="ＭＳ Ｐゴシック"/>
        <family val="3"/>
      </rPr>
      <t>後電圧</t>
    </r>
  </si>
  <si>
    <t>V</t>
  </si>
  <si>
    <r>
      <t>Rb1</t>
    </r>
    <r>
      <rPr>
        <sz val="9"/>
        <rFont val="ＭＳ Ｐゴシック"/>
        <family val="3"/>
      </rPr>
      <t>消費電力</t>
    </r>
  </si>
  <si>
    <t>W</t>
  </si>
  <si>
    <r>
      <t>Rb2</t>
    </r>
    <r>
      <rPr>
        <sz val="9"/>
        <rFont val="ＭＳ Ｐゴシック"/>
        <family val="3"/>
      </rPr>
      <t>後電圧</t>
    </r>
  </si>
  <si>
    <t>順方向電圧</t>
  </si>
  <si>
    <r>
      <t>Rb2</t>
    </r>
    <r>
      <rPr>
        <sz val="9"/>
        <rFont val="ＭＳ Ｐゴシック"/>
        <family val="3"/>
      </rPr>
      <t>電圧降下</t>
    </r>
  </si>
  <si>
    <r>
      <t>B1+</t>
    </r>
    <r>
      <rPr>
        <sz val="9"/>
        <rFont val="ＭＳ Ｐゴシック"/>
        <family val="3"/>
      </rPr>
      <t>電圧</t>
    </r>
  </si>
  <si>
    <t>V</t>
  </si>
  <si>
    <r>
      <t>Rb2</t>
    </r>
    <r>
      <rPr>
        <sz val="9"/>
        <rFont val="ＭＳ Ｐゴシック"/>
        <family val="3"/>
      </rPr>
      <t>消費電力</t>
    </r>
  </si>
  <si>
    <t>W</t>
  </si>
  <si>
    <r>
      <t>B2+</t>
    </r>
    <r>
      <rPr>
        <sz val="9"/>
        <rFont val="ＭＳ Ｐゴシック"/>
        <family val="3"/>
      </rPr>
      <t>電圧</t>
    </r>
  </si>
  <si>
    <t>Rb3</t>
  </si>
  <si>
    <r>
      <t>Rb3</t>
    </r>
    <r>
      <rPr>
        <sz val="9"/>
        <rFont val="ＭＳ Ｐゴシック"/>
        <family val="3"/>
      </rPr>
      <t>電圧降下</t>
    </r>
  </si>
  <si>
    <t>マイナス電源</t>
  </si>
  <si>
    <r>
      <t>B2+</t>
    </r>
    <r>
      <rPr>
        <sz val="9"/>
        <rFont val="ＭＳ Ｐゴシック"/>
        <family val="3"/>
      </rPr>
      <t>ブリーダ電流</t>
    </r>
  </si>
  <si>
    <t>mA</t>
  </si>
  <si>
    <r>
      <t>B2+</t>
    </r>
    <r>
      <rPr>
        <sz val="9"/>
        <rFont val="ＭＳ Ｐゴシック"/>
        <family val="3"/>
      </rPr>
      <t>ブリーダ抵抗</t>
    </r>
  </si>
  <si>
    <t>出力段全消費電流</t>
  </si>
  <si>
    <t>mA</t>
  </si>
  <si>
    <r>
      <t>B2+</t>
    </r>
    <r>
      <rPr>
        <sz val="9"/>
        <rFont val="ＭＳ Ｐゴシック"/>
        <family val="3"/>
      </rPr>
      <t>ブリーダ抵抗消費電力</t>
    </r>
  </si>
  <si>
    <t>初段全消費電流</t>
  </si>
  <si>
    <t>電灯線</t>
  </si>
  <si>
    <t>全消費電流</t>
  </si>
  <si>
    <t>※電源トランスに表示されている定格値をヒントにして、経験値に近似するような「整流出力電圧」を求めています。</t>
  </si>
  <si>
    <t>参考データ</t>
  </si>
  <si>
    <t>6SL7GTの増幅率(μ)</t>
  </si>
  <si>
    <t>6SC7の増幅率(μ)</t>
  </si>
  <si>
    <r>
      <t>k</t>
    </r>
    <r>
      <rPr>
        <sz val="9"/>
        <rFont val="ＭＳ Ｐ明朝"/>
        <family val="1"/>
      </rPr>
      <t>Ω</t>
    </r>
  </si>
  <si>
    <r>
      <t>6SL7GT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</si>
  <si>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r>
      <t>6L6</t>
    </r>
    <r>
      <rPr>
        <sz val="9"/>
        <rFont val="ＭＳ Ｐ明朝"/>
        <family val="1"/>
      </rPr>
      <t>族の内部抵抗</t>
    </r>
    <r>
      <rPr>
        <sz val="9"/>
        <rFont val="Times New Roman"/>
        <family val="1"/>
      </rPr>
      <t>(rp)</t>
    </r>
  </si>
  <si>
    <r>
      <t>EL34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</si>
  <si>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r>
      <t>6AH4GT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</si>
  <si>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計算値</t>
  </si>
  <si>
    <t>入力値</t>
  </si>
  <si>
    <t>6L6</t>
  </si>
  <si>
    <t>6AH4GT</t>
  </si>
  <si>
    <t>＜全段差動ベーシック・アンプ簡易シミュレーション・モデル＞</t>
  </si>
  <si>
    <r>
      <t>マイナス電源用</t>
    </r>
    <r>
      <rPr>
        <sz val="9"/>
        <rFont val="Times New Roman"/>
        <family val="1"/>
      </rPr>
      <t>SiDi</t>
    </r>
    <r>
      <rPr>
        <sz val="9"/>
        <rFont val="ＭＳ Ｐゴシック"/>
        <family val="3"/>
      </rPr>
      <t>数</t>
    </r>
  </si>
  <si>
    <t>出力トランス2次直流抵抗</t>
  </si>
  <si>
    <t>理想最大出力</t>
  </si>
  <si>
    <t>最大出力</t>
  </si>
  <si>
    <t>出力電圧</t>
  </si>
  <si>
    <t>D.F（無帰還時)</t>
  </si>
  <si>
    <t>D.F（負帰還時)</t>
  </si>
  <si>
    <r>
      <t>6SC7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</si>
  <si>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定電流ダイオード(CRD)</t>
  </si>
  <si>
    <t>定電流ダイオード(CRD)</t>
  </si>
  <si>
    <t>Ω</t>
  </si>
  <si>
    <t>概算内部抵抗</t>
  </si>
  <si>
    <t>概算内部抵抗</t>
  </si>
  <si>
    <r>
      <t>Rb1(</t>
    </r>
    <r>
      <rPr>
        <sz val="9"/>
        <rFont val="ＭＳ Ｐゴシック"/>
        <family val="3"/>
      </rPr>
      <t>リプルフィルタの都合上</t>
    </r>
    <r>
      <rPr>
        <sz val="9"/>
        <rFont val="Times New Roman"/>
        <family val="1"/>
      </rPr>
      <t>82</t>
    </r>
    <r>
      <rPr>
        <sz val="9"/>
        <rFont val="ＭＳ Ｐゴシック"/>
        <family val="3"/>
      </rPr>
      <t>Ω以上</t>
    </r>
    <r>
      <rPr>
        <sz val="9"/>
        <rFont val="Times New Roman"/>
        <family val="1"/>
      </rPr>
      <t>)</t>
    </r>
  </si>
  <si>
    <r>
      <t>Rb2(</t>
    </r>
    <r>
      <rPr>
        <sz val="9"/>
        <rFont val="ＭＳ Ｐゴシック"/>
        <family val="3"/>
      </rPr>
      <t>リプルフィルタの都合上</t>
    </r>
    <r>
      <rPr>
        <sz val="9"/>
        <rFont val="Times New Roman"/>
        <family val="1"/>
      </rPr>
      <t>82</t>
    </r>
    <r>
      <rPr>
        <sz val="9"/>
        <rFont val="ＭＳ Ｐゴシック"/>
        <family val="3"/>
      </rPr>
      <t>Ω以上</t>
    </r>
    <r>
      <rPr>
        <sz val="9"/>
        <rFont val="Times New Roman"/>
        <family val="1"/>
      </rPr>
      <t>)</t>
    </r>
  </si>
  <si>
    <t>定電流ダイオード(CRD)</t>
  </si>
  <si>
    <t>トランジスタhFE</t>
  </si>
  <si>
    <t>dB</t>
  </si>
  <si>
    <t>12AX7の増幅率(μ)</t>
  </si>
  <si>
    <r>
      <t>12AX7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</si>
  <si>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出力インピーダンス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</si>
</sst>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);[Red]\(0.00\)"/>
    <numFmt numFmtId="180" formatCode="0.00000000000000_);[Red]\(0.00000000000000\)"/>
    <numFmt numFmtId="181" formatCode="0.0000000000000_);[Red]\(0.0000000000000\)"/>
    <numFmt numFmtId="182" formatCode="0.000000000000_);[Red]\(0.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0.0000000"/>
    <numFmt numFmtId="193" formatCode="0.000000"/>
    <numFmt numFmtId="194" formatCode="0.00000"/>
    <numFmt numFmtId="195" formatCode="0.0_);[Red]\(0.0\)"/>
    <numFmt numFmtId="196" formatCode="0.00000000"/>
    <numFmt numFmtId="197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sz val="9"/>
      <name val="ＭＳ Ｐ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25"/>
      <name val="ＭＳ Ｐゴシック"/>
      <family val="3"/>
    </font>
    <font>
      <sz val="10"/>
      <color indexed="10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95" fontId="2" fillId="3" borderId="1" xfId="0" applyNumberFormat="1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178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78" fontId="4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78" fontId="2" fillId="3" borderId="1" xfId="0" applyNumberFormat="1" applyFont="1" applyFill="1" applyBorder="1" applyAlignment="1">
      <alignment horizontal="right"/>
    </xf>
    <xf numFmtId="195" fontId="2" fillId="3" borderId="1" xfId="0" applyNumberFormat="1" applyFont="1" applyFill="1" applyBorder="1" applyAlignment="1">
      <alignment horizontal="right"/>
    </xf>
    <xf numFmtId="197" fontId="4" fillId="2" borderId="1" xfId="0" applyNumberFormat="1" applyFont="1" applyFill="1" applyBorder="1" applyAlignment="1">
      <alignment/>
    </xf>
    <xf numFmtId="195" fontId="4" fillId="2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95" fontId="3" fillId="0" borderId="0" xfId="0" applyNumberFormat="1" applyFont="1" applyAlignment="1">
      <alignment/>
    </xf>
    <xf numFmtId="0" fontId="3" fillId="8" borderId="1" xfId="0" applyFont="1" applyFill="1" applyBorder="1" applyAlignment="1">
      <alignment/>
    </xf>
    <xf numFmtId="195" fontId="3" fillId="8" borderId="1" xfId="0" applyNumberFormat="1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178" fontId="3" fillId="9" borderId="1" xfId="0" applyNumberFormat="1" applyFont="1" applyFill="1" applyBorder="1" applyAlignment="1">
      <alignment/>
    </xf>
    <xf numFmtId="195" fontId="3" fillId="9" borderId="1" xfId="0" applyNumberFormat="1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3" fillId="10" borderId="1" xfId="0" applyFont="1" applyFill="1" applyBorder="1" applyAlignment="1" quotePrefix="1">
      <alignment/>
    </xf>
    <xf numFmtId="0" fontId="2" fillId="5" borderId="2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3" fillId="5" borderId="1" xfId="0" applyFont="1" applyFill="1" applyBorder="1" applyAlignment="1" quotePrefix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9" fontId="2" fillId="3" borderId="3" xfId="0" applyNumberFormat="1" applyFont="1" applyFill="1" applyBorder="1" applyAlignment="1">
      <alignment/>
    </xf>
    <xf numFmtId="197" fontId="3" fillId="8" borderId="1" xfId="0" applyNumberFormat="1" applyFont="1" applyFill="1" applyBorder="1" applyAlignment="1">
      <alignment/>
    </xf>
    <xf numFmtId="1" fontId="3" fillId="8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初段管Ep-Ip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75"/>
          <c:w val="0.91125"/>
          <c:h val="0.848"/>
        </c:manualLayout>
      </c:layout>
      <c:scatterChart>
        <c:scatterStyle val="line"/>
        <c:varyColors val="0"/>
        <c:ser>
          <c:idx val="0"/>
          <c:order val="0"/>
          <c:tx>
            <c:strRef>
              <c:f>LM17T!$S$4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LM17T!$S$5:$S$29</c:f>
              <c:numCache/>
            </c:numRef>
          </c:yVal>
          <c:smooth val="0"/>
        </c:ser>
        <c:ser>
          <c:idx val="1"/>
          <c:order val="1"/>
          <c:tx>
            <c:strRef>
              <c:f>LM17T!$T$4</c:f>
              <c:strCache>
                <c:ptCount val="1"/>
                <c:pt idx="0">
                  <c:v>DC-load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LM17T!$T$5:$T$29</c:f>
              <c:numCache/>
            </c:numRef>
          </c:yVal>
          <c:smooth val="0"/>
        </c:ser>
        <c:ser>
          <c:idx val="2"/>
          <c:order val="2"/>
          <c:tx>
            <c:strRef>
              <c:f>LM17T!$U$4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LM17T!$U$5:$U$29</c:f>
              <c:numCache/>
            </c:numRef>
          </c:yVal>
          <c:smooth val="0"/>
        </c:ser>
        <c:ser>
          <c:idx val="3"/>
          <c:order val="3"/>
          <c:tx>
            <c:strRef>
              <c:f>LM17T!$V$4</c:f>
              <c:strCache>
                <c:ptCount val="1"/>
                <c:pt idx="0">
                  <c:v>動作点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LM17T!$R$5:$R$29</c:f>
              <c:numCache/>
            </c:numRef>
          </c:xVal>
          <c:yVal>
            <c:numRef>
              <c:f>LM17T!$V$5:$V$29</c:f>
              <c:numCache/>
            </c:numRef>
          </c:yVal>
          <c:smooth val="0"/>
        </c:ser>
        <c:ser>
          <c:idx val="4"/>
          <c:order val="4"/>
          <c:tx>
            <c:strRef>
              <c:f>LM17T!$W$4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LM17T!$W$5:$W$29</c:f>
              <c:numCache/>
            </c:numRef>
          </c:yVal>
          <c:smooth val="0"/>
        </c:ser>
        <c:ser>
          <c:idx val="5"/>
          <c:order val="5"/>
          <c:tx>
            <c:strRef>
              <c:f>LM17T!$X$4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LM17T!$X$5:$X$29</c:f>
              <c:numCache/>
            </c:numRef>
          </c:yVal>
          <c:smooth val="0"/>
        </c:ser>
        <c:ser>
          <c:idx val="6"/>
          <c:order val="6"/>
          <c:tx>
            <c:strRef>
              <c:f>LM17T!$Y$4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LM17T!$Y$5:$Y$29</c:f>
              <c:numCache/>
            </c:numRef>
          </c:yVal>
          <c:smooth val="0"/>
        </c:ser>
        <c:ser>
          <c:idx val="7"/>
          <c:order val="7"/>
          <c:tx>
            <c:strRef>
              <c:f>LM17T!$Z$4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LM17T!$Z$5:$Z$29</c:f>
              <c:numCache/>
            </c:numRef>
          </c:yVal>
          <c:smooth val="0"/>
        </c:ser>
        <c:ser>
          <c:idx val="8"/>
          <c:order val="8"/>
          <c:tx>
            <c:strRef>
              <c:f>LM17T!$AA$4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LM17T!$AA$5:$AA$29</c:f>
              <c:numCache/>
            </c:numRef>
          </c:yVal>
          <c:smooth val="0"/>
        </c:ser>
        <c:ser>
          <c:idx val="9"/>
          <c:order val="9"/>
          <c:tx>
            <c:strRef>
              <c:f>LM17T!$AB$4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LM17T!$AB$5:$AB$29</c:f>
              <c:numCache/>
            </c:numRef>
          </c:yVal>
          <c:smooth val="0"/>
        </c:ser>
        <c:ser>
          <c:idx val="10"/>
          <c:order val="10"/>
          <c:tx>
            <c:strRef>
              <c:f>LM17T!$AC$4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LM17T!$AC$5:$AC$29</c:f>
              <c:numCache/>
            </c:numRef>
          </c:yVal>
          <c:smooth val="0"/>
        </c:ser>
        <c:ser>
          <c:idx val="11"/>
          <c:order val="11"/>
          <c:tx>
            <c:strRef>
              <c:f>LM17T!$AD$4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LM17T!$AD$5:$AD$29</c:f>
              <c:numCache/>
            </c:numRef>
          </c:yVal>
          <c:smooth val="0"/>
        </c:ser>
        <c:ser>
          <c:idx val="12"/>
          <c:order val="12"/>
          <c:tx>
            <c:strRef>
              <c:f>LM17T!$AE$4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LM17T!$AE$5:$AE$29</c:f>
              <c:numCache/>
            </c:numRef>
          </c:yVal>
          <c:smooth val="0"/>
        </c:ser>
        <c:ser>
          <c:idx val="13"/>
          <c:order val="13"/>
          <c:tx>
            <c:strRef>
              <c:f>LM17T!$AF$4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LM17T!$AF$5:$AF$29</c:f>
              <c:numCache/>
            </c:numRef>
          </c:yVal>
          <c:smooth val="0"/>
        </c:ser>
        <c:ser>
          <c:idx val="14"/>
          <c:order val="14"/>
          <c:tx>
            <c:strRef>
              <c:f>LM17T!$AG$4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LM17T!$AG$5:$AG$29</c:f>
              <c:numCache/>
            </c:numRef>
          </c:yVal>
          <c:smooth val="0"/>
        </c:ser>
        <c:ser>
          <c:idx val="15"/>
          <c:order val="15"/>
          <c:tx>
            <c:strRef>
              <c:f>LM17T!$AH$4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LM17T!$AH$5:$AH$29</c:f>
              <c:numCache/>
            </c:numRef>
          </c:yVal>
          <c:smooth val="0"/>
        </c:ser>
        <c:ser>
          <c:idx val="16"/>
          <c:order val="16"/>
          <c:tx>
            <c:strRef>
              <c:f>LM17T!$AI$4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LM17T!$AI$5:$AI$29</c:f>
              <c:numCache/>
            </c:numRef>
          </c:yVal>
          <c:smooth val="0"/>
        </c:ser>
        <c:ser>
          <c:idx val="17"/>
          <c:order val="17"/>
          <c:tx>
            <c:strRef>
              <c:f>LM17T!$AJ$4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LM17T!$AJ$5:$AJ$29</c:f>
              <c:numCache/>
            </c:numRef>
          </c:yVal>
          <c:smooth val="0"/>
        </c:ser>
        <c:axId val="28495304"/>
        <c:axId val="55131145"/>
      </c:scatterChart>
      <c:valAx>
        <c:axId val="28495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131145"/>
        <c:crosses val="autoZero"/>
        <c:crossBetween val="midCat"/>
        <c:dispUnits/>
      </c:valAx>
      <c:valAx>
        <c:axId val="55131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953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出力管Ep-Ip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875"/>
          <c:w val="0.887"/>
          <c:h val="0.79525"/>
        </c:manualLayout>
      </c:layout>
      <c:scatterChart>
        <c:scatterStyle val="line"/>
        <c:varyColors val="0"/>
        <c:ser>
          <c:idx val="0"/>
          <c:order val="0"/>
          <c:tx>
            <c:strRef>
              <c:f>LM17T!$S$34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LM17T!$S$35:$S$59</c:f>
              <c:numCache/>
            </c:numRef>
          </c:yVal>
          <c:smooth val="0"/>
        </c:ser>
        <c:ser>
          <c:idx val="1"/>
          <c:order val="1"/>
          <c:tx>
            <c:strRef>
              <c:f>LM17T!$T$34</c:f>
              <c:strCache>
                <c:ptCount val="1"/>
                <c:pt idx="0">
                  <c:v>P損失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LM17T!$T$35:$T$59</c:f>
              <c:numCache/>
            </c:numRef>
          </c:yVal>
          <c:smooth val="0"/>
        </c:ser>
        <c:ser>
          <c:idx val="2"/>
          <c:order val="2"/>
          <c:tx>
            <c:strRef>
              <c:f>LM17T!$U$34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LM17T!$U$35:$U$59</c:f>
              <c:numCache/>
            </c:numRef>
          </c:yVal>
          <c:smooth val="0"/>
        </c:ser>
        <c:ser>
          <c:idx val="3"/>
          <c:order val="3"/>
          <c:tx>
            <c:strRef>
              <c:f>LM17T!$V$34</c:f>
              <c:strCache>
                <c:ptCount val="1"/>
                <c:pt idx="0">
                  <c:v>動作点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LM17T!$R$35:$R$59</c:f>
              <c:numCache/>
            </c:numRef>
          </c:xVal>
          <c:yVal>
            <c:numRef>
              <c:f>LM17T!$V$35:$V$59</c:f>
              <c:numCache/>
            </c:numRef>
          </c:yVal>
          <c:smooth val="0"/>
        </c:ser>
        <c:ser>
          <c:idx val="4"/>
          <c:order val="4"/>
          <c:tx>
            <c:strRef>
              <c:f>LM17T!$W$34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LM17T!$W$35:$W$59</c:f>
              <c:numCache/>
            </c:numRef>
          </c:yVal>
          <c:smooth val="0"/>
        </c:ser>
        <c:ser>
          <c:idx val="5"/>
          <c:order val="5"/>
          <c:tx>
            <c:strRef>
              <c:f>LM17T!$X$34</c:f>
              <c:strCache>
                <c:ptCount val="1"/>
                <c:pt idx="0">
                  <c:v>-10V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LM17T!$X$35:$X$59</c:f>
              <c:numCache/>
            </c:numRef>
          </c:yVal>
          <c:smooth val="0"/>
        </c:ser>
        <c:ser>
          <c:idx val="6"/>
          <c:order val="6"/>
          <c:tx>
            <c:strRef>
              <c:f>LM17T!$Y$34</c:f>
              <c:strCache>
                <c:ptCount val="1"/>
                <c:pt idx="0">
                  <c:v>-20V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LM17T!$Y$35:$Y$59</c:f>
              <c:numCache/>
            </c:numRef>
          </c:yVal>
          <c:smooth val="0"/>
        </c:ser>
        <c:ser>
          <c:idx val="7"/>
          <c:order val="7"/>
          <c:tx>
            <c:strRef>
              <c:f>LM17T!$Z$34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LM17T!$Z$35:$Z$59</c:f>
              <c:numCache/>
            </c:numRef>
          </c:yVal>
          <c:smooth val="0"/>
        </c:ser>
        <c:ser>
          <c:idx val="8"/>
          <c:order val="8"/>
          <c:tx>
            <c:strRef>
              <c:f>LM17T!$AA$34</c:f>
              <c:strCache>
                <c:ptCount val="1"/>
                <c:pt idx="0">
                  <c:v>-40V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LM17T!$AA$35:$AA$59</c:f>
              <c:numCache/>
            </c:numRef>
          </c:yVal>
          <c:smooth val="0"/>
        </c:ser>
        <c:ser>
          <c:idx val="9"/>
          <c:order val="9"/>
          <c:tx>
            <c:strRef>
              <c:f>LM17T!$AB$34</c:f>
              <c:strCache>
                <c:ptCount val="1"/>
                <c:pt idx="0">
                  <c:v>-50V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LM17T!$AB$35:$AB$59</c:f>
              <c:numCache/>
            </c:numRef>
          </c:yVal>
          <c:smooth val="0"/>
        </c:ser>
        <c:ser>
          <c:idx val="10"/>
          <c:order val="10"/>
          <c:tx>
            <c:strRef>
              <c:f>LM17T!$AC$34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LM17T!$AC$35:$AC$59</c:f>
              <c:numCache/>
            </c:numRef>
          </c:yVal>
          <c:smooth val="0"/>
        </c:ser>
        <c:ser>
          <c:idx val="11"/>
          <c:order val="11"/>
          <c:tx>
            <c:strRef>
              <c:f>LM17T!$AD$34</c:f>
              <c:strCache>
                <c:ptCount val="1"/>
                <c:pt idx="0">
                  <c:v>-15V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LM17T!$AD$35:$AD$59</c:f>
              <c:numCache/>
            </c:numRef>
          </c:yVal>
          <c:smooth val="0"/>
        </c:ser>
        <c:ser>
          <c:idx val="12"/>
          <c:order val="12"/>
          <c:tx>
            <c:strRef>
              <c:f>LM17T!$AE$34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LM17T!$AE$35:$AE$59</c:f>
              <c:numCache/>
            </c:numRef>
          </c:yVal>
          <c:smooth val="0"/>
        </c:ser>
        <c:ser>
          <c:idx val="13"/>
          <c:order val="13"/>
          <c:tx>
            <c:strRef>
              <c:f>LM17T!$AF$34</c:f>
              <c:strCache>
                <c:ptCount val="1"/>
                <c:pt idx="0">
                  <c:v>-45V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LM17T!$AF$35:$AF$59</c:f>
              <c:numCache/>
            </c:numRef>
          </c:yVal>
          <c:smooth val="0"/>
        </c:ser>
        <c:ser>
          <c:idx val="14"/>
          <c:order val="14"/>
          <c:tx>
            <c:strRef>
              <c:f>LM17T!$AG$34</c:f>
              <c:strCache>
                <c:ptCount val="1"/>
                <c:pt idx="0">
                  <c:v>-60V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LM17T!$AG$35:$AG$59</c:f>
              <c:numCache/>
            </c:numRef>
          </c:yVal>
          <c:smooth val="0"/>
        </c:ser>
        <c:ser>
          <c:idx val="15"/>
          <c:order val="15"/>
          <c:tx>
            <c:strRef>
              <c:f>LM17T!$AH$34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LM17T!$AH$35:$AH$59</c:f>
              <c:numCache/>
            </c:numRef>
          </c:yVal>
          <c:smooth val="0"/>
        </c:ser>
        <c:ser>
          <c:idx val="16"/>
          <c:order val="16"/>
          <c:tx>
            <c:strRef>
              <c:f>LM17T!$AI$34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LM17T!$AI$35:$AI$59</c:f>
              <c:numCache/>
            </c:numRef>
          </c:yVal>
          <c:smooth val="0"/>
        </c:ser>
        <c:ser>
          <c:idx val="17"/>
          <c:order val="17"/>
          <c:tx>
            <c:strRef>
              <c:f>LM17T!$AJ$34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LM17T!$AJ$35:$AJ$59</c:f>
              <c:numCache/>
            </c:numRef>
          </c:yVal>
          <c:smooth val="0"/>
        </c:ser>
        <c:axId val="26418258"/>
        <c:axId val="36437731"/>
      </c:scatterChart>
      <c:valAx>
        <c:axId val="2641825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37731"/>
        <c:crosses val="autoZero"/>
        <c:crossBetween val="midCat"/>
        <c:dispUnits/>
        <c:minorUnit val="20"/>
      </c:valAx>
      <c:valAx>
        <c:axId val="364377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825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初段管Ep-Ip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88325"/>
          <c:h val="0.803"/>
        </c:manualLayout>
      </c:layout>
      <c:scatterChart>
        <c:scatterStyle val="line"/>
        <c:varyColors val="0"/>
        <c:ser>
          <c:idx val="0"/>
          <c:order val="0"/>
          <c:tx>
            <c:strRef>
              <c:f>Transistor!$S$4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Transistor!$S$5:$S$29</c:f>
              <c:numCache>
                <c:ptCount val="2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Transistor!$T$4</c:f>
              <c:strCache>
                <c:ptCount val="1"/>
                <c:pt idx="0">
                  <c:v>DC-load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Transistor!$T$5:$T$29</c:f>
              <c:numCache>
                <c:ptCount val="25"/>
                <c:pt idx="0">
                  <c:v>1.1271013365281037</c:v>
                </c:pt>
                <c:pt idx="1">
                  <c:v>1.0816467910735583</c:v>
                </c:pt>
                <c:pt idx="2">
                  <c:v>1.036192245619013</c:v>
                </c:pt>
                <c:pt idx="3">
                  <c:v>0.9907377001644673</c:v>
                </c:pt>
                <c:pt idx="4">
                  <c:v>0.9452831547099219</c:v>
                </c:pt>
                <c:pt idx="5">
                  <c:v>0.8998286092553764</c:v>
                </c:pt>
                <c:pt idx="6">
                  <c:v>0.854374063800831</c:v>
                </c:pt>
                <c:pt idx="7">
                  <c:v>0.8089195183462855</c:v>
                </c:pt>
                <c:pt idx="8">
                  <c:v>0.76346497289174</c:v>
                </c:pt>
                <c:pt idx="9">
                  <c:v>0.7180104274371946</c:v>
                </c:pt>
                <c:pt idx="10">
                  <c:v>0.6725558819826492</c:v>
                </c:pt>
                <c:pt idx="11">
                  <c:v>0.6271013365281037</c:v>
                </c:pt>
                <c:pt idx="12">
                  <c:v>0.5816467910735582</c:v>
                </c:pt>
                <c:pt idx="13">
                  <c:v>0.5361922456190128</c:v>
                </c:pt>
                <c:pt idx="14">
                  <c:v>0.4907377001644673</c:v>
                </c:pt>
                <c:pt idx="15">
                  <c:v>0.44528315470992186</c:v>
                </c:pt>
                <c:pt idx="16">
                  <c:v>0.39982860925537644</c:v>
                </c:pt>
                <c:pt idx="17">
                  <c:v>0.354374063800831</c:v>
                </c:pt>
                <c:pt idx="18">
                  <c:v>0.3089195183462855</c:v>
                </c:pt>
                <c:pt idx="19">
                  <c:v>0.2634649728917401</c:v>
                </c:pt>
                <c:pt idx="20">
                  <c:v>0.21801042743719462</c:v>
                </c:pt>
                <c:pt idx="21">
                  <c:v>0.17255588198264915</c:v>
                </c:pt>
                <c:pt idx="22">
                  <c:v>0.12710133652810368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Transistor!$U$4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Transistor!$U$5:$U$29</c:f>
              <c:numCache>
                <c:ptCount val="25"/>
                <c:pt idx="0">
                  <c:v>1.4206381323497692</c:v>
                </c:pt>
                <c:pt idx="1">
                  <c:v>1.3539069911505428</c:v>
                </c:pt>
                <c:pt idx="2">
                  <c:v>1.2871758499513166</c:v>
                </c:pt>
                <c:pt idx="3">
                  <c:v>1.2204447087520904</c:v>
                </c:pt>
                <c:pt idx="4">
                  <c:v>1.153713567552864</c:v>
                </c:pt>
                <c:pt idx="5">
                  <c:v>1.0869824263536376</c:v>
                </c:pt>
                <c:pt idx="6">
                  <c:v>1.0202512851544114</c:v>
                </c:pt>
                <c:pt idx="7">
                  <c:v>0.953520143955185</c:v>
                </c:pt>
                <c:pt idx="8">
                  <c:v>0.8867890027559588</c:v>
                </c:pt>
                <c:pt idx="9">
                  <c:v>0.8200578615567324</c:v>
                </c:pt>
                <c:pt idx="10">
                  <c:v>0.7533267203575063</c:v>
                </c:pt>
                <c:pt idx="11">
                  <c:v>0.6865955791582798</c:v>
                </c:pt>
                <c:pt idx="12">
                  <c:v>0.6198644379590535</c:v>
                </c:pt>
                <c:pt idx="13">
                  <c:v>0.5531332967598273</c:v>
                </c:pt>
                <c:pt idx="14">
                  <c:v>0.48640215556060096</c:v>
                </c:pt>
                <c:pt idx="15">
                  <c:v>0.41967101436137466</c:v>
                </c:pt>
                <c:pt idx="16">
                  <c:v>0.35293987316214837</c:v>
                </c:pt>
                <c:pt idx="17">
                  <c:v>0.28620873196292207</c:v>
                </c:pt>
                <c:pt idx="18">
                  <c:v>0.21947759076369577</c:v>
                </c:pt>
                <c:pt idx="19">
                  <c:v>0.15274644956446948</c:v>
                </c:pt>
                <c:pt idx="20">
                  <c:v>0.08601530836524318</c:v>
                </c:pt>
                <c:pt idx="21">
                  <c:v>0.01928416716601683</c:v>
                </c:pt>
                <c:pt idx="22">
                  <c:v>-0.04744697403320941</c:v>
                </c:pt>
                <c:pt idx="23">
                  <c:v>-0.23404255319148937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Transistor!$V$4</c:f>
              <c:strCache>
                <c:ptCount val="1"/>
                <c:pt idx="0">
                  <c:v>動作点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Transistor!$V$5:$V$29</c:f>
              <c:numCache>
                <c:ptCount val="25"/>
                <c:pt idx="24">
                  <c:v>0.5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Transistor!$W$4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Transistor!$W$5:$W$29</c:f>
              <c:numCache>
                <c:ptCount val="25"/>
                <c:pt idx="0">
                  <c:v>0</c:v>
                </c:pt>
                <c:pt idx="1">
                  <c:v>0.134</c:v>
                </c:pt>
                <c:pt idx="2">
                  <c:v>0.254</c:v>
                </c:pt>
                <c:pt idx="3">
                  <c:v>0.402</c:v>
                </c:pt>
                <c:pt idx="4">
                  <c:v>0.571</c:v>
                </c:pt>
                <c:pt idx="5">
                  <c:v>0.755</c:v>
                </c:pt>
                <c:pt idx="6">
                  <c:v>0.952</c:v>
                </c:pt>
                <c:pt idx="7">
                  <c:v>1.163</c:v>
                </c:pt>
                <c:pt idx="8">
                  <c:v>1.384</c:v>
                </c:pt>
                <c:pt idx="9">
                  <c:v>1.615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Transistor!$X$4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Transistor!$X$5:$X$29</c:f>
              <c:numCache>
                <c:ptCount val="25"/>
                <c:pt idx="1">
                  <c:v>0.004</c:v>
                </c:pt>
                <c:pt idx="2">
                  <c:v>0.015</c:v>
                </c:pt>
                <c:pt idx="3">
                  <c:v>0.045</c:v>
                </c:pt>
                <c:pt idx="4">
                  <c:v>0.103</c:v>
                </c:pt>
                <c:pt idx="5">
                  <c:v>0.196</c:v>
                </c:pt>
                <c:pt idx="6">
                  <c:v>0.324</c:v>
                </c:pt>
                <c:pt idx="7">
                  <c:v>0.475</c:v>
                </c:pt>
                <c:pt idx="8">
                  <c:v>0.643</c:v>
                </c:pt>
                <c:pt idx="9">
                  <c:v>0.83</c:v>
                </c:pt>
                <c:pt idx="10">
                  <c:v>1.033</c:v>
                </c:pt>
                <c:pt idx="11">
                  <c:v>1.248</c:v>
                </c:pt>
                <c:pt idx="12">
                  <c:v>1.472</c:v>
                </c:pt>
                <c:pt idx="13">
                  <c:v>1.705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Transistor!$Y$4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Transistor!$Y$5:$Y$29</c:f>
              <c:numCache>
                <c:ptCount val="25"/>
                <c:pt idx="4">
                  <c:v>0.005</c:v>
                </c:pt>
                <c:pt idx="5">
                  <c:v>0.014</c:v>
                </c:pt>
                <c:pt idx="6">
                  <c:v>0.04</c:v>
                </c:pt>
                <c:pt idx="7">
                  <c:v>0.085</c:v>
                </c:pt>
                <c:pt idx="8">
                  <c:v>0.16</c:v>
                </c:pt>
                <c:pt idx="9">
                  <c:v>0.266</c:v>
                </c:pt>
                <c:pt idx="10">
                  <c:v>0.402</c:v>
                </c:pt>
                <c:pt idx="11">
                  <c:v>0.556</c:v>
                </c:pt>
                <c:pt idx="12">
                  <c:v>0.733</c:v>
                </c:pt>
                <c:pt idx="13">
                  <c:v>0.923</c:v>
                </c:pt>
                <c:pt idx="14">
                  <c:v>1.137</c:v>
                </c:pt>
                <c:pt idx="15">
                  <c:v>1.344</c:v>
                </c:pt>
                <c:pt idx="16">
                  <c:v>1.565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Transistor!$Z$4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Transistor!$Z$5:$Z$29</c:f>
              <c:numCache>
                <c:ptCount val="25"/>
                <c:pt idx="7">
                  <c:v>0.005</c:v>
                </c:pt>
                <c:pt idx="8">
                  <c:v>0.015</c:v>
                </c:pt>
                <c:pt idx="9">
                  <c:v>0.035</c:v>
                </c:pt>
                <c:pt idx="10">
                  <c:v>0.072</c:v>
                </c:pt>
                <c:pt idx="11">
                  <c:v>0.135</c:v>
                </c:pt>
                <c:pt idx="12">
                  <c:v>0.224</c:v>
                </c:pt>
                <c:pt idx="13">
                  <c:v>0.34</c:v>
                </c:pt>
                <c:pt idx="14">
                  <c:v>0.48</c:v>
                </c:pt>
                <c:pt idx="15">
                  <c:v>0.646</c:v>
                </c:pt>
                <c:pt idx="16">
                  <c:v>0.824</c:v>
                </c:pt>
                <c:pt idx="17">
                  <c:v>1.018</c:v>
                </c:pt>
                <c:pt idx="18">
                  <c:v>1.23</c:v>
                </c:pt>
                <c:pt idx="19">
                  <c:v>1.447</c:v>
                </c:pt>
                <c:pt idx="20">
                  <c:v>1.675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Transistor!$AA$4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Transistor!$AA$5:$AA$29</c:f>
              <c:numCache>
                <c:ptCount val="25"/>
                <c:pt idx="10">
                  <c:v>0.006</c:v>
                </c:pt>
                <c:pt idx="11">
                  <c:v>0.014</c:v>
                </c:pt>
                <c:pt idx="12">
                  <c:v>0.033</c:v>
                </c:pt>
                <c:pt idx="13">
                  <c:v>0.066</c:v>
                </c:pt>
                <c:pt idx="14">
                  <c:v>0.118</c:v>
                </c:pt>
                <c:pt idx="15">
                  <c:v>0.195</c:v>
                </c:pt>
                <c:pt idx="16">
                  <c:v>0.298</c:v>
                </c:pt>
                <c:pt idx="17">
                  <c:v>0.425</c:v>
                </c:pt>
                <c:pt idx="18">
                  <c:v>0.574</c:v>
                </c:pt>
                <c:pt idx="19">
                  <c:v>0.742</c:v>
                </c:pt>
                <c:pt idx="20">
                  <c:v>0.927</c:v>
                </c:pt>
                <c:pt idx="21">
                  <c:v>1.125</c:v>
                </c:pt>
                <c:pt idx="22">
                  <c:v>1.336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Transistor!$AB$4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Transistor!$AB$5:$AB$29</c:f>
              <c:numCache>
                <c:ptCount val="25"/>
                <c:pt idx="13">
                  <c:v>0.007</c:v>
                </c:pt>
                <c:pt idx="14">
                  <c:v>0.015</c:v>
                </c:pt>
                <c:pt idx="15">
                  <c:v>0.031</c:v>
                </c:pt>
                <c:pt idx="16">
                  <c:v>0.059</c:v>
                </c:pt>
                <c:pt idx="17">
                  <c:v>0.105</c:v>
                </c:pt>
                <c:pt idx="18">
                  <c:v>0.173</c:v>
                </c:pt>
                <c:pt idx="19">
                  <c:v>0.261</c:v>
                </c:pt>
                <c:pt idx="20">
                  <c:v>0.376</c:v>
                </c:pt>
                <c:pt idx="21">
                  <c:v>0.512</c:v>
                </c:pt>
                <c:pt idx="22">
                  <c:v>0.67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Transistor!$AC$4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Transistor!$AC$5:$AC$29</c:f>
              <c:numCache>
                <c:ptCount val="25"/>
                <c:pt idx="16">
                  <c:v>0.007</c:v>
                </c:pt>
                <c:pt idx="17">
                  <c:v>0.014</c:v>
                </c:pt>
                <c:pt idx="18">
                  <c:v>0.029</c:v>
                </c:pt>
                <c:pt idx="19">
                  <c:v>0.055</c:v>
                </c:pt>
                <c:pt idx="20">
                  <c:v>0.094</c:v>
                </c:pt>
                <c:pt idx="21">
                  <c:v>0.152</c:v>
                </c:pt>
                <c:pt idx="22">
                  <c:v>0.23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Transistor!$AD$4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Transistor!$AD$5:$AD$29</c:f>
              <c:numCache>
                <c:ptCount val="25"/>
                <c:pt idx="0">
                  <c:v>0</c:v>
                </c:pt>
                <c:pt idx="1">
                  <c:v>0.262</c:v>
                </c:pt>
                <c:pt idx="2">
                  <c:v>0.375</c:v>
                </c:pt>
                <c:pt idx="3">
                  <c:v>0.498</c:v>
                </c:pt>
                <c:pt idx="4">
                  <c:v>0.623</c:v>
                </c:pt>
                <c:pt idx="5">
                  <c:v>0.76</c:v>
                </c:pt>
                <c:pt idx="6">
                  <c:v>0.905</c:v>
                </c:pt>
                <c:pt idx="7">
                  <c:v>1.056</c:v>
                </c:pt>
                <c:pt idx="8">
                  <c:v>1.22</c:v>
                </c:pt>
                <c:pt idx="9">
                  <c:v>1.387</c:v>
                </c:pt>
                <c:pt idx="10">
                  <c:v>1.566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Transistor!$AE$4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Transistor!$AE$5:$AE$29</c:f>
              <c:numCache>
                <c:ptCount val="25"/>
                <c:pt idx="0">
                  <c:v>0</c:v>
                </c:pt>
                <c:pt idx="1">
                  <c:v>0.067</c:v>
                </c:pt>
                <c:pt idx="2">
                  <c:v>0.121</c:v>
                </c:pt>
                <c:pt idx="3">
                  <c:v>0.189</c:v>
                </c:pt>
                <c:pt idx="4">
                  <c:v>0.271</c:v>
                </c:pt>
                <c:pt idx="5">
                  <c:v>0.365</c:v>
                </c:pt>
                <c:pt idx="6">
                  <c:v>0.476</c:v>
                </c:pt>
                <c:pt idx="7">
                  <c:v>0.598</c:v>
                </c:pt>
                <c:pt idx="8">
                  <c:v>0.728</c:v>
                </c:pt>
                <c:pt idx="9">
                  <c:v>0.87</c:v>
                </c:pt>
                <c:pt idx="10">
                  <c:v>1.019</c:v>
                </c:pt>
                <c:pt idx="11">
                  <c:v>1.177</c:v>
                </c:pt>
                <c:pt idx="12">
                  <c:v>1.343</c:v>
                </c:pt>
                <c:pt idx="13">
                  <c:v>1.515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Transistor!$AF$4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Transistor!$AF$5:$AF$29</c:f>
              <c:numCache>
                <c:ptCount val="25"/>
                <c:pt idx="1">
                  <c:v>0.004</c:v>
                </c:pt>
                <c:pt idx="2">
                  <c:v>0.012</c:v>
                </c:pt>
                <c:pt idx="3">
                  <c:v>0.031</c:v>
                </c:pt>
                <c:pt idx="4">
                  <c:v>0.063</c:v>
                </c:pt>
                <c:pt idx="5">
                  <c:v>0.108</c:v>
                </c:pt>
                <c:pt idx="6">
                  <c:v>0.169</c:v>
                </c:pt>
                <c:pt idx="7">
                  <c:v>0.244</c:v>
                </c:pt>
                <c:pt idx="8">
                  <c:v>0.335</c:v>
                </c:pt>
                <c:pt idx="9">
                  <c:v>0.438</c:v>
                </c:pt>
                <c:pt idx="10">
                  <c:v>0.552</c:v>
                </c:pt>
                <c:pt idx="11">
                  <c:v>0.677</c:v>
                </c:pt>
                <c:pt idx="12">
                  <c:v>0.812</c:v>
                </c:pt>
                <c:pt idx="13">
                  <c:v>0.958</c:v>
                </c:pt>
                <c:pt idx="14">
                  <c:v>1.115</c:v>
                </c:pt>
                <c:pt idx="15">
                  <c:v>1.276</c:v>
                </c:pt>
                <c:pt idx="16">
                  <c:v>1.444</c:v>
                </c:pt>
                <c:pt idx="17">
                  <c:v>1.617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Transistor!$AG$4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Transistor!$AG$5:$AG$29</c:f>
              <c:numCache>
                <c:ptCount val="25"/>
                <c:pt idx="4">
                  <c:v>0.004</c:v>
                </c:pt>
                <c:pt idx="5">
                  <c:v>0.012</c:v>
                </c:pt>
                <c:pt idx="6">
                  <c:v>0.027</c:v>
                </c:pt>
                <c:pt idx="7">
                  <c:v>0.054</c:v>
                </c:pt>
                <c:pt idx="8">
                  <c:v>0.095</c:v>
                </c:pt>
                <c:pt idx="9">
                  <c:v>0.148</c:v>
                </c:pt>
                <c:pt idx="10">
                  <c:v>0.217</c:v>
                </c:pt>
                <c:pt idx="11">
                  <c:v>0.301</c:v>
                </c:pt>
                <c:pt idx="12">
                  <c:v>0.399</c:v>
                </c:pt>
                <c:pt idx="13">
                  <c:v>0.505</c:v>
                </c:pt>
                <c:pt idx="14">
                  <c:v>0.63</c:v>
                </c:pt>
                <c:pt idx="15">
                  <c:v>0.762</c:v>
                </c:pt>
                <c:pt idx="16">
                  <c:v>0.901</c:v>
                </c:pt>
                <c:pt idx="17">
                  <c:v>1.052</c:v>
                </c:pt>
                <c:pt idx="18">
                  <c:v>1.21</c:v>
                </c:pt>
                <c:pt idx="19">
                  <c:v>1.372</c:v>
                </c:pt>
                <c:pt idx="20">
                  <c:v>1.543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Transistor!$AH$4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Transistor!$AH$5:$AH$29</c:f>
              <c:numCache>
                <c:ptCount val="25"/>
                <c:pt idx="7">
                  <c:v>0.005</c:v>
                </c:pt>
                <c:pt idx="8">
                  <c:v>0.011</c:v>
                </c:pt>
                <c:pt idx="9">
                  <c:v>0.024</c:v>
                </c:pt>
                <c:pt idx="10">
                  <c:v>0.047</c:v>
                </c:pt>
                <c:pt idx="11">
                  <c:v>0.084</c:v>
                </c:pt>
                <c:pt idx="12">
                  <c:v>0.13</c:v>
                </c:pt>
                <c:pt idx="13">
                  <c:v>0.193</c:v>
                </c:pt>
                <c:pt idx="14">
                  <c:v>0.273</c:v>
                </c:pt>
                <c:pt idx="15">
                  <c:v>0.364</c:v>
                </c:pt>
                <c:pt idx="16">
                  <c:v>0.467</c:v>
                </c:pt>
                <c:pt idx="17">
                  <c:v>0.582</c:v>
                </c:pt>
                <c:pt idx="18">
                  <c:v>0.71</c:v>
                </c:pt>
                <c:pt idx="19">
                  <c:v>0.844</c:v>
                </c:pt>
                <c:pt idx="20">
                  <c:v>0.987</c:v>
                </c:pt>
                <c:pt idx="21">
                  <c:v>1.139</c:v>
                </c:pt>
                <c:pt idx="22">
                  <c:v>1.3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Transistor!$AI$4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Transistor!$AI$5:$AI$29</c:f>
              <c:numCache>
                <c:ptCount val="25"/>
                <c:pt idx="10">
                  <c:v>0.005</c:v>
                </c:pt>
                <c:pt idx="11">
                  <c:v>0.011</c:v>
                </c:pt>
                <c:pt idx="12">
                  <c:v>0.022</c:v>
                </c:pt>
                <c:pt idx="13">
                  <c:v>0.042</c:v>
                </c:pt>
                <c:pt idx="14">
                  <c:v>0.073</c:v>
                </c:pt>
                <c:pt idx="15">
                  <c:v>0.117</c:v>
                </c:pt>
                <c:pt idx="16">
                  <c:v>0.174</c:v>
                </c:pt>
                <c:pt idx="17">
                  <c:v>0.246</c:v>
                </c:pt>
                <c:pt idx="18">
                  <c:v>0.33</c:v>
                </c:pt>
                <c:pt idx="19">
                  <c:v>0.426</c:v>
                </c:pt>
                <c:pt idx="20">
                  <c:v>0.536</c:v>
                </c:pt>
                <c:pt idx="21">
                  <c:v>0.656</c:v>
                </c:pt>
                <c:pt idx="22">
                  <c:v>0.786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Transistor!$AJ$4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Transistor!$AJ$5:$AJ$29</c:f>
              <c:numCache>
                <c:ptCount val="25"/>
                <c:pt idx="13">
                  <c:v>0.006</c:v>
                </c:pt>
                <c:pt idx="14">
                  <c:v>0.011</c:v>
                </c:pt>
                <c:pt idx="15">
                  <c:v>0.021</c:v>
                </c:pt>
                <c:pt idx="16">
                  <c:v>0.038</c:v>
                </c:pt>
                <c:pt idx="17">
                  <c:v>0.064</c:v>
                </c:pt>
                <c:pt idx="18">
                  <c:v>0.102</c:v>
                </c:pt>
                <c:pt idx="19">
                  <c:v>0.152</c:v>
                </c:pt>
                <c:pt idx="20">
                  <c:v>0.217</c:v>
                </c:pt>
                <c:pt idx="21">
                  <c:v>0.295</c:v>
                </c:pt>
                <c:pt idx="22">
                  <c:v>0.386</c:v>
                </c:pt>
              </c:numCache>
            </c:numRef>
          </c:yVal>
          <c:smooth val="0"/>
        </c:ser>
        <c:axId val="59504124"/>
        <c:axId val="65775069"/>
      </c:scatterChart>
      <c:valAx>
        <c:axId val="5950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5775069"/>
        <c:crosses val="autoZero"/>
        <c:crossBetween val="midCat"/>
        <c:dispUnits/>
      </c:valAx>
      <c:valAx>
        <c:axId val="65775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041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出力管Ep-Ip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2325"/>
          <c:w val="0.8855"/>
          <c:h val="0.78175"/>
        </c:manualLayout>
      </c:layout>
      <c:scatterChart>
        <c:scatterStyle val="line"/>
        <c:varyColors val="0"/>
        <c:ser>
          <c:idx val="0"/>
          <c:order val="0"/>
          <c:tx>
            <c:strRef>
              <c:f>Transistor!$S$34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Transistor!$S$35:$S$59</c:f>
              <c:numCache>
                <c:ptCount val="25"/>
                <c:pt idx="0">
                  <c:v>31.14010989010989</c:v>
                </c:pt>
                <c:pt idx="1">
                  <c:v>31.14010989010989</c:v>
                </c:pt>
                <c:pt idx="2">
                  <c:v>31.14010989010989</c:v>
                </c:pt>
                <c:pt idx="3">
                  <c:v>31.14010989010989</c:v>
                </c:pt>
                <c:pt idx="4">
                  <c:v>31.14010989010989</c:v>
                </c:pt>
                <c:pt idx="5">
                  <c:v>31.14010989010989</c:v>
                </c:pt>
                <c:pt idx="6">
                  <c:v>31.14010989010989</c:v>
                </c:pt>
                <c:pt idx="7">
                  <c:v>31.14010989010989</c:v>
                </c:pt>
                <c:pt idx="8">
                  <c:v>31.14010989010989</c:v>
                </c:pt>
                <c:pt idx="9">
                  <c:v>31.14010989010989</c:v>
                </c:pt>
                <c:pt idx="10">
                  <c:v>31.14010989010989</c:v>
                </c:pt>
                <c:pt idx="11">
                  <c:v>31.14010989010989</c:v>
                </c:pt>
                <c:pt idx="12">
                  <c:v>31.14010989010989</c:v>
                </c:pt>
                <c:pt idx="13">
                  <c:v>31.14010989010989</c:v>
                </c:pt>
                <c:pt idx="14">
                  <c:v>31.14010989010989</c:v>
                </c:pt>
                <c:pt idx="15">
                  <c:v>31.14010989010989</c:v>
                </c:pt>
                <c:pt idx="16">
                  <c:v>31.14010989010989</c:v>
                </c:pt>
                <c:pt idx="17">
                  <c:v>31.14010989010989</c:v>
                </c:pt>
                <c:pt idx="18">
                  <c:v>31.14010989010989</c:v>
                </c:pt>
                <c:pt idx="19">
                  <c:v>31.14010989010989</c:v>
                </c:pt>
                <c:pt idx="20">
                  <c:v>31.14010989010989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Transistor!$T$34</c:f>
              <c:strCache>
                <c:ptCount val="1"/>
                <c:pt idx="0">
                  <c:v>P損失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Transistor!$T$35:$T$59</c:f>
              <c:numCache>
                <c:ptCount val="25"/>
                <c:pt idx="1">
                  <c:v>375</c:v>
                </c:pt>
                <c:pt idx="2">
                  <c:v>187.5</c:v>
                </c:pt>
                <c:pt idx="3">
                  <c:v>125</c:v>
                </c:pt>
                <c:pt idx="4">
                  <c:v>93.75</c:v>
                </c:pt>
                <c:pt idx="5">
                  <c:v>75</c:v>
                </c:pt>
                <c:pt idx="6">
                  <c:v>62.5</c:v>
                </c:pt>
                <c:pt idx="7">
                  <c:v>53.57142857142857</c:v>
                </c:pt>
                <c:pt idx="8">
                  <c:v>46.875</c:v>
                </c:pt>
                <c:pt idx="9">
                  <c:v>41.666666666666664</c:v>
                </c:pt>
                <c:pt idx="10">
                  <c:v>37.5</c:v>
                </c:pt>
                <c:pt idx="11">
                  <c:v>34.09090909090909</c:v>
                </c:pt>
                <c:pt idx="12">
                  <c:v>31.25</c:v>
                </c:pt>
                <c:pt idx="13">
                  <c:v>28.846153846153847</c:v>
                </c:pt>
                <c:pt idx="14">
                  <c:v>26.785714285714285</c:v>
                </c:pt>
                <c:pt idx="15">
                  <c:v>25</c:v>
                </c:pt>
                <c:pt idx="16">
                  <c:v>23.4375</c:v>
                </c:pt>
                <c:pt idx="17">
                  <c:v>22.058823529411764</c:v>
                </c:pt>
                <c:pt idx="18">
                  <c:v>20.833333333333332</c:v>
                </c:pt>
                <c:pt idx="19">
                  <c:v>19.736842105263158</c:v>
                </c:pt>
                <c:pt idx="20">
                  <c:v>18.75</c:v>
                </c:pt>
                <c:pt idx="21">
                  <c:v>17.857142857142858</c:v>
                </c:pt>
                <c:pt idx="22">
                  <c:v>17.045454545454547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Transistor!$U$34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Transistor!$U$35:$U$59</c:f>
              <c:numCache>
                <c:ptCount val="25"/>
                <c:pt idx="0">
                  <c:v>88.3500790035512</c:v>
                </c:pt>
                <c:pt idx="1">
                  <c:v>83.3500790035512</c:v>
                </c:pt>
                <c:pt idx="2">
                  <c:v>78.3500790035512</c:v>
                </c:pt>
                <c:pt idx="3">
                  <c:v>73.3500790035512</c:v>
                </c:pt>
                <c:pt idx="4">
                  <c:v>68.3500790035512</c:v>
                </c:pt>
                <c:pt idx="5">
                  <c:v>63.3500790035512</c:v>
                </c:pt>
                <c:pt idx="6">
                  <c:v>58.3500790035512</c:v>
                </c:pt>
                <c:pt idx="7">
                  <c:v>53.3500790035512</c:v>
                </c:pt>
                <c:pt idx="8">
                  <c:v>48.3500790035512</c:v>
                </c:pt>
                <c:pt idx="9">
                  <c:v>43.3500790035512</c:v>
                </c:pt>
                <c:pt idx="10">
                  <c:v>38.3500790035512</c:v>
                </c:pt>
                <c:pt idx="11">
                  <c:v>33.3500790035512</c:v>
                </c:pt>
                <c:pt idx="12">
                  <c:v>28.3500790035512</c:v>
                </c:pt>
                <c:pt idx="13">
                  <c:v>23.3500790035512</c:v>
                </c:pt>
                <c:pt idx="14">
                  <c:v>18.3500790035512</c:v>
                </c:pt>
                <c:pt idx="15">
                  <c:v>13.350079003551201</c:v>
                </c:pt>
                <c:pt idx="16">
                  <c:v>8.350079003551201</c:v>
                </c:pt>
                <c:pt idx="17">
                  <c:v>3.350079003551201</c:v>
                </c:pt>
                <c:pt idx="18">
                  <c:v>-1.6499209964487989</c:v>
                </c:pt>
                <c:pt idx="19">
                  <c:v>-6.649920996448799</c:v>
                </c:pt>
                <c:pt idx="20">
                  <c:v>-11.649920996448799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Transistor!$V$34</c:f>
              <c:strCache>
                <c:ptCount val="1"/>
                <c:pt idx="0">
                  <c:v>動作点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Transistor!$V$35:$V$59</c:f>
              <c:numCache>
                <c:ptCount val="25"/>
                <c:pt idx="24">
                  <c:v>31.14010989010989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Transistor!$W$34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Transistor!$W$35:$W$59</c:f>
              <c:numCache>
                <c:ptCount val="25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34</c:v>
                </c:pt>
                <c:pt idx="4">
                  <c:v>50</c:v>
                </c:pt>
                <c:pt idx="5">
                  <c:v>68</c:v>
                </c:pt>
                <c:pt idx="6">
                  <c:v>87</c:v>
                </c:pt>
                <c:pt idx="7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Transistor!$X$34</c:f>
              <c:strCache>
                <c:ptCount val="1"/>
                <c:pt idx="0">
                  <c:v>-10V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Transistor!$X$35:$X$59</c:f>
              <c:numCache>
                <c:ptCount val="25"/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14</c:v>
                </c:pt>
                <c:pt idx="7">
                  <c:v>24.7</c:v>
                </c:pt>
                <c:pt idx="8">
                  <c:v>37</c:v>
                </c:pt>
                <c:pt idx="9">
                  <c:v>54</c:v>
                </c:pt>
                <c:pt idx="10">
                  <c:v>71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Transistor!$Y$34</c:f>
              <c:strCache>
                <c:ptCount val="1"/>
                <c:pt idx="0">
                  <c:v>-20V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Transistor!$Y$35:$Y$59</c:f>
              <c:numCache>
                <c:ptCount val="25"/>
                <c:pt idx="7">
                  <c:v>1</c:v>
                </c:pt>
                <c:pt idx="8">
                  <c:v>3.2</c:v>
                </c:pt>
                <c:pt idx="9">
                  <c:v>6.8</c:v>
                </c:pt>
                <c:pt idx="10">
                  <c:v>13.2</c:v>
                </c:pt>
                <c:pt idx="11">
                  <c:v>22</c:v>
                </c:pt>
                <c:pt idx="12">
                  <c:v>32.3</c:v>
                </c:pt>
                <c:pt idx="13">
                  <c:v>44</c:v>
                </c:pt>
                <c:pt idx="14">
                  <c:v>55.5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Transistor!$Z$34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Transistor!$Z$35:$Z$59</c:f>
              <c:numCache>
                <c:ptCount val="25"/>
                <c:pt idx="10">
                  <c:v>0.8</c:v>
                </c:pt>
                <c:pt idx="11">
                  <c:v>2.8</c:v>
                </c:pt>
                <c:pt idx="12">
                  <c:v>6.2</c:v>
                </c:pt>
                <c:pt idx="13">
                  <c:v>10.7</c:v>
                </c:pt>
                <c:pt idx="14">
                  <c:v>16</c:v>
                </c:pt>
                <c:pt idx="15">
                  <c:v>22</c:v>
                </c:pt>
                <c:pt idx="16">
                  <c:v>29.5</c:v>
                </c:pt>
                <c:pt idx="17">
                  <c:v>37.5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Transistor!$AA$34</c:f>
              <c:strCache>
                <c:ptCount val="1"/>
                <c:pt idx="0">
                  <c:v>-40V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Transistor!$AA$35:$AA$59</c:f>
              <c:numCache>
                <c:ptCount val="25"/>
                <c:pt idx="13">
                  <c:v>0.8</c:v>
                </c:pt>
                <c:pt idx="14">
                  <c:v>2.4</c:v>
                </c:pt>
                <c:pt idx="15">
                  <c:v>4.9</c:v>
                </c:pt>
                <c:pt idx="16">
                  <c:v>8.4</c:v>
                </c:pt>
                <c:pt idx="17">
                  <c:v>13.5</c:v>
                </c:pt>
                <c:pt idx="18">
                  <c:v>18.7</c:v>
                </c:pt>
                <c:pt idx="19">
                  <c:v>24.4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Transistor!$AB$34</c:f>
              <c:strCache>
                <c:ptCount val="1"/>
                <c:pt idx="0">
                  <c:v>-50V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Transistor!$AB$35:$AB$59</c:f>
              <c:numCache>
                <c:ptCount val="25"/>
                <c:pt idx="16">
                  <c:v>0.7</c:v>
                </c:pt>
                <c:pt idx="17">
                  <c:v>2.1</c:v>
                </c:pt>
                <c:pt idx="18">
                  <c:v>4.2</c:v>
                </c:pt>
                <c:pt idx="19">
                  <c:v>6.8</c:v>
                </c:pt>
                <c:pt idx="20">
                  <c:v>10.1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Transistor!$AC$34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Transistor!$AC$35:$AC$59</c:f>
              <c:numCache>
                <c:ptCount val="25"/>
                <c:pt idx="0">
                  <c:v>0</c:v>
                </c:pt>
                <c:pt idx="1">
                  <c:v>7</c:v>
                </c:pt>
                <c:pt idx="2">
                  <c:v>17.5</c:v>
                </c:pt>
                <c:pt idx="3">
                  <c:v>28</c:v>
                </c:pt>
                <c:pt idx="4">
                  <c:v>40</c:v>
                </c:pt>
                <c:pt idx="5">
                  <c:v>52</c:v>
                </c:pt>
                <c:pt idx="6">
                  <c:v>66</c:v>
                </c:pt>
                <c:pt idx="7">
                  <c:v>80.5</c:v>
                </c:pt>
                <c:pt idx="8">
                  <c:v>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Transistor!$AD$34</c:f>
              <c:strCache>
                <c:ptCount val="1"/>
                <c:pt idx="0">
                  <c:v>-15V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Transistor!$AD$35:$AD$59</c:f>
              <c:numCache>
                <c:ptCount val="25"/>
                <c:pt idx="5">
                  <c:v>2.5</c:v>
                </c:pt>
                <c:pt idx="6">
                  <c:v>5.5</c:v>
                </c:pt>
                <c:pt idx="7">
                  <c:v>10</c:v>
                </c:pt>
                <c:pt idx="8">
                  <c:v>17</c:v>
                </c:pt>
                <c:pt idx="9">
                  <c:v>25.5</c:v>
                </c:pt>
                <c:pt idx="10">
                  <c:v>37</c:v>
                </c:pt>
                <c:pt idx="11">
                  <c:v>49</c:v>
                </c:pt>
                <c:pt idx="12">
                  <c:v>62</c:v>
                </c:pt>
                <c:pt idx="13">
                  <c:v>77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Transistor!$AE$34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Transistor!$AE$35:$AE$59</c:f>
              <c:numCache>
                <c:ptCount val="25"/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15</c:v>
                </c:pt>
                <c:pt idx="14">
                  <c:v>22.5</c:v>
                </c:pt>
                <c:pt idx="15">
                  <c:v>30</c:v>
                </c:pt>
                <c:pt idx="16">
                  <c:v>40</c:v>
                </c:pt>
                <c:pt idx="17">
                  <c:v>51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Transistor!$AF$34</c:f>
              <c:strCache>
                <c:ptCount val="1"/>
                <c:pt idx="0">
                  <c:v>-45V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Transistor!$AF$35:$AF$59</c:f>
              <c:numCache>
                <c:ptCount val="25"/>
                <c:pt idx="15">
                  <c:v>2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22.5</c:v>
                </c:pt>
                <c:pt idx="20">
                  <c:v>29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Transistor!$AG$34</c:f>
              <c:strCache>
                <c:ptCount val="1"/>
                <c:pt idx="0">
                  <c:v>-60V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Transistor!$AG$35:$AG$59</c:f>
              <c:numCache>
                <c:ptCount val="25"/>
                <c:pt idx="20">
                  <c:v>2</c:v>
                </c:pt>
                <c:pt idx="21">
                  <c:v>5</c:v>
                </c:pt>
                <c:pt idx="22">
                  <c:v>8.5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Transistor!$AH$34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Transistor!$AH$35:$AH$59</c:f>
              <c:numCache>
                <c:ptCount val="25"/>
              </c:numCache>
            </c:numRef>
          </c:yVal>
          <c:smooth val="0"/>
        </c:ser>
        <c:ser>
          <c:idx val="16"/>
          <c:order val="16"/>
          <c:tx>
            <c:strRef>
              <c:f>Transistor!$AI$34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Transistor!$AI$35:$AI$59</c:f>
              <c:numCache>
                <c:ptCount val="25"/>
              </c:numCache>
            </c:numRef>
          </c:yVal>
          <c:smooth val="0"/>
        </c:ser>
        <c:ser>
          <c:idx val="17"/>
          <c:order val="17"/>
          <c:tx>
            <c:strRef>
              <c:f>Transistor!$AJ$34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Transistor!$AJ$35:$AJ$59</c:f>
              <c:numCache>
                <c:ptCount val="25"/>
              </c:numCache>
            </c:numRef>
          </c:yVal>
          <c:smooth val="0"/>
        </c:ser>
        <c:axId val="55104710"/>
        <c:axId val="26180343"/>
      </c:scatterChart>
      <c:valAx>
        <c:axId val="5510471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 val="autoZero"/>
        <c:crossBetween val="midCat"/>
        <c:dispUnits/>
        <c:minorUnit val="20"/>
      </c:valAx>
      <c:valAx>
        <c:axId val="261803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47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45</xdr:row>
      <xdr:rowOff>0</xdr:rowOff>
    </xdr:from>
    <xdr:ext cx="4695825" cy="4267200"/>
    <xdr:graphicFrame>
      <xdr:nvGraphicFramePr>
        <xdr:cNvPr id="1" name="Chart 2"/>
        <xdr:cNvGraphicFramePr/>
      </xdr:nvGraphicFramePr>
      <xdr:xfrm>
        <a:off x="47625" y="6858000"/>
        <a:ext cx="4695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1133475</xdr:colOff>
      <xdr:row>45</xdr:row>
      <xdr:rowOff>0</xdr:rowOff>
    </xdr:from>
    <xdr:ext cx="4695825" cy="4267200"/>
    <xdr:graphicFrame>
      <xdr:nvGraphicFramePr>
        <xdr:cNvPr id="2" name="Chart 3"/>
        <xdr:cNvGraphicFramePr/>
      </xdr:nvGraphicFramePr>
      <xdr:xfrm>
        <a:off x="4838700" y="6858000"/>
        <a:ext cx="4695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219075</xdr:colOff>
      <xdr:row>45</xdr:row>
      <xdr:rowOff>76200</xdr:rowOff>
    </xdr:from>
    <xdr:ext cx="723900" cy="352425"/>
    <xdr:sp>
      <xdr:nvSpPr>
        <xdr:cNvPr id="3" name="TextBox 4"/>
        <xdr:cNvSpPr txBox="1">
          <a:spLocks noChangeArrowheads="1"/>
        </xdr:cNvSpPr>
      </xdr:nvSpPr>
      <xdr:spPr>
        <a:xfrm>
          <a:off x="3924300" y="69342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黒：6SL7GT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赤：6SC7</a:t>
          </a:r>
        </a:p>
      </xdr:txBody>
    </xdr:sp>
    <xdr:clientData/>
  </xdr:oneCellAnchor>
  <xdr:oneCellAnchor>
    <xdr:from>
      <xdr:col>11</xdr:col>
      <xdr:colOff>228600</xdr:colOff>
      <xdr:row>45</xdr:row>
      <xdr:rowOff>85725</xdr:rowOff>
    </xdr:from>
    <xdr:ext cx="1276350" cy="361950"/>
    <xdr:sp>
      <xdr:nvSpPr>
        <xdr:cNvPr id="4" name="TextBox 5"/>
        <xdr:cNvSpPr txBox="1">
          <a:spLocks noChangeArrowheads="1"/>
        </xdr:cNvSpPr>
      </xdr:nvSpPr>
      <xdr:spPr>
        <a:xfrm>
          <a:off x="8153400" y="6943725"/>
          <a:ext cx="1276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黒：6AH4GT (10Vstep)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赤：6L6族 (15Vstep)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48</xdr:row>
      <xdr:rowOff>0</xdr:rowOff>
    </xdr:from>
    <xdr:ext cx="4667250" cy="4267200"/>
    <xdr:graphicFrame>
      <xdr:nvGraphicFramePr>
        <xdr:cNvPr id="1" name="Chart 1"/>
        <xdr:cNvGraphicFramePr/>
      </xdr:nvGraphicFramePr>
      <xdr:xfrm>
        <a:off x="57150" y="7315200"/>
        <a:ext cx="4667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1104900</xdr:colOff>
      <xdr:row>48</xdr:row>
      <xdr:rowOff>0</xdr:rowOff>
    </xdr:from>
    <xdr:ext cx="4667250" cy="4267200"/>
    <xdr:graphicFrame>
      <xdr:nvGraphicFramePr>
        <xdr:cNvPr id="2" name="Chart 2"/>
        <xdr:cNvGraphicFramePr/>
      </xdr:nvGraphicFramePr>
      <xdr:xfrm>
        <a:off x="4810125" y="7315200"/>
        <a:ext cx="46672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190500</xdr:colOff>
      <xdr:row>48</xdr:row>
      <xdr:rowOff>104775</xdr:rowOff>
    </xdr:from>
    <xdr:ext cx="723900" cy="352425"/>
    <xdr:sp>
      <xdr:nvSpPr>
        <xdr:cNvPr id="3" name="TextBox 3"/>
        <xdr:cNvSpPr txBox="1">
          <a:spLocks noChangeArrowheads="1"/>
        </xdr:cNvSpPr>
      </xdr:nvSpPr>
      <xdr:spPr>
        <a:xfrm>
          <a:off x="3895725" y="7419975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黒：6SL7GT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赤：6SC7</a:t>
          </a:r>
        </a:p>
      </xdr:txBody>
    </xdr:sp>
    <xdr:clientData/>
  </xdr:oneCellAnchor>
  <xdr:oneCellAnchor>
    <xdr:from>
      <xdr:col>11</xdr:col>
      <xdr:colOff>200025</xdr:colOff>
      <xdr:row>48</xdr:row>
      <xdr:rowOff>104775</xdr:rowOff>
    </xdr:from>
    <xdr:ext cx="1238250" cy="352425"/>
    <xdr:sp>
      <xdr:nvSpPr>
        <xdr:cNvPr id="4" name="TextBox 5"/>
        <xdr:cNvSpPr txBox="1">
          <a:spLocks noChangeArrowheads="1"/>
        </xdr:cNvSpPr>
      </xdr:nvSpPr>
      <xdr:spPr>
        <a:xfrm>
          <a:off x="8124825" y="7419975"/>
          <a:ext cx="1238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黒：6AH4GT(10Vstep)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赤：6L6族(15Vstep)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3"/>
  <sheetViews>
    <sheetView zoomScale="75" zoomScaleNormal="75" workbookViewId="0" topLeftCell="A1">
      <selection activeCell="H33" sqref="H33"/>
    </sheetView>
  </sheetViews>
  <sheetFormatPr defaultColWidth="9.00390625" defaultRowHeight="12" customHeight="1"/>
  <cols>
    <col min="1" max="1" width="0.74609375" style="1" customWidth="1"/>
    <col min="2" max="2" width="9.125" style="1" customWidth="1"/>
    <col min="3" max="3" width="26.625" style="1" customWidth="1"/>
    <col min="4" max="4" width="6.625" style="1" customWidth="1"/>
    <col min="5" max="5" width="4.25390625" style="1" customWidth="1"/>
    <col min="6" max="6" width="1.25" style="1" customWidth="1"/>
    <col min="7" max="7" width="21.625" style="1" customWidth="1"/>
    <col min="8" max="8" width="6.625" style="1" customWidth="1"/>
    <col min="9" max="9" width="4.25390625" style="1" customWidth="1"/>
    <col min="10" max="10" width="1.25" style="1" customWidth="1"/>
    <col min="11" max="11" width="21.625" style="1" customWidth="1"/>
    <col min="12" max="12" width="6.625" style="1" customWidth="1"/>
    <col min="13" max="13" width="4.25390625" style="1" customWidth="1"/>
    <col min="14" max="14" width="1.25" style="1" customWidth="1"/>
    <col min="15" max="16" width="5.125" style="1" customWidth="1"/>
    <col min="17" max="17" width="1.625" style="1" customWidth="1"/>
    <col min="18" max="18" width="4.375" style="30" customWidth="1"/>
    <col min="19" max="19" width="4.625" style="30" customWidth="1"/>
    <col min="20" max="21" width="5.625" style="30" customWidth="1"/>
    <col min="22" max="22" width="4.625" style="1" customWidth="1"/>
    <col min="23" max="36" width="4.125" style="1" customWidth="1"/>
    <col min="37" max="38" width="1.625" style="1" customWidth="1"/>
    <col min="39" max="45" width="6.625" style="1" customWidth="1"/>
    <col min="46" max="16384" width="17.125" style="1" customWidth="1"/>
  </cols>
  <sheetData>
    <row r="1" spans="2:13" ht="16.5" customHeight="1">
      <c r="B1" s="54" t="s">
        <v>241</v>
      </c>
      <c r="M1" s="47" t="s">
        <v>119</v>
      </c>
    </row>
    <row r="2" ht="7.5" customHeight="1"/>
    <row r="3" spans="4:36" ht="12" customHeight="1">
      <c r="D3" s="2" t="s">
        <v>238</v>
      </c>
      <c r="H3" s="3" t="s">
        <v>237</v>
      </c>
      <c r="L3" s="3" t="s">
        <v>237</v>
      </c>
      <c r="W3" s="42" t="s">
        <v>99</v>
      </c>
      <c r="X3" s="43"/>
      <c r="Y3" s="43"/>
      <c r="Z3" s="43"/>
      <c r="AA3" s="43"/>
      <c r="AB3" s="43"/>
      <c r="AC3" s="44"/>
      <c r="AD3" s="38" t="s">
        <v>100</v>
      </c>
      <c r="AE3" s="39"/>
      <c r="AF3" s="39"/>
      <c r="AG3" s="39"/>
      <c r="AH3" s="39"/>
      <c r="AI3" s="39"/>
      <c r="AJ3" s="40"/>
    </row>
    <row r="4" spans="18:36" ht="12" customHeight="1">
      <c r="R4" s="34"/>
      <c r="S4" s="18" t="s">
        <v>92</v>
      </c>
      <c r="T4" s="18" t="s">
        <v>91</v>
      </c>
      <c r="U4" s="18" t="s">
        <v>90</v>
      </c>
      <c r="V4" s="18" t="s">
        <v>89</v>
      </c>
      <c r="W4" s="45" t="s">
        <v>82</v>
      </c>
      <c r="X4" s="45" t="s">
        <v>83</v>
      </c>
      <c r="Y4" s="45" t="s">
        <v>84</v>
      </c>
      <c r="Z4" s="45" t="s">
        <v>85</v>
      </c>
      <c r="AA4" s="45" t="s">
        <v>86</v>
      </c>
      <c r="AB4" s="45" t="s">
        <v>87</v>
      </c>
      <c r="AC4" s="45" t="s">
        <v>88</v>
      </c>
      <c r="AD4" s="41" t="s">
        <v>82</v>
      </c>
      <c r="AE4" s="41" t="s">
        <v>83</v>
      </c>
      <c r="AF4" s="41" t="s">
        <v>84</v>
      </c>
      <c r="AG4" s="41" t="s">
        <v>85</v>
      </c>
      <c r="AH4" s="41" t="s">
        <v>86</v>
      </c>
      <c r="AI4" s="41" t="s">
        <v>87</v>
      </c>
      <c r="AJ4" s="41" t="s">
        <v>88</v>
      </c>
    </row>
    <row r="5" spans="2:36" ht="12" customHeight="1">
      <c r="B5" s="4" t="s">
        <v>6</v>
      </c>
      <c r="C5" s="5" t="s">
        <v>43</v>
      </c>
      <c r="D5" s="6">
        <v>63</v>
      </c>
      <c r="E5" s="5" t="s">
        <v>7</v>
      </c>
      <c r="G5" s="7" t="s">
        <v>44</v>
      </c>
      <c r="H5" s="8">
        <f>L40</f>
        <v>264.0319895061728</v>
      </c>
      <c r="I5" s="7" t="s">
        <v>8</v>
      </c>
      <c r="R5" s="32">
        <v>0</v>
      </c>
      <c r="S5" s="34">
        <f>$H$7</f>
        <v>0.57</v>
      </c>
      <c r="T5" s="34">
        <f aca="true" t="shared" si="0" ref="T5:T28">(T$31-R5)/T$30+S5</f>
        <v>1.1001332896090534</v>
      </c>
      <c r="U5" s="34">
        <f aca="true" t="shared" si="1" ref="U5:U28">(U$31-R5)/U$30+S5</f>
        <v>1.370839650260485</v>
      </c>
      <c r="V5" s="34"/>
      <c r="W5" s="34">
        <v>0</v>
      </c>
      <c r="X5" s="34"/>
      <c r="Y5" s="34"/>
      <c r="Z5" s="34"/>
      <c r="AA5" s="34"/>
      <c r="AB5" s="34"/>
      <c r="AC5" s="34"/>
      <c r="AD5" s="34">
        <v>0</v>
      </c>
      <c r="AE5" s="34">
        <v>0</v>
      </c>
      <c r="AF5" s="34"/>
      <c r="AG5" s="34"/>
      <c r="AH5" s="34"/>
      <c r="AI5" s="34"/>
      <c r="AJ5" s="34"/>
    </row>
    <row r="6" spans="3:36" ht="12" customHeight="1">
      <c r="C6" s="5" t="s">
        <v>45</v>
      </c>
      <c r="D6" s="6">
        <v>80</v>
      </c>
      <c r="E6" s="7" t="s">
        <v>46</v>
      </c>
      <c r="G6" s="9" t="s">
        <v>9</v>
      </c>
      <c r="H6" s="10">
        <f>H7*D8</f>
        <v>136.79999999999998</v>
      </c>
      <c r="I6" s="11" t="s">
        <v>10</v>
      </c>
      <c r="K6" s="5" t="s">
        <v>11</v>
      </c>
      <c r="L6" s="12">
        <f>H5-H6</f>
        <v>127.23198950617282</v>
      </c>
      <c r="M6" s="7" t="s">
        <v>12</v>
      </c>
      <c r="R6" s="32">
        <v>10</v>
      </c>
      <c r="S6" s="34">
        <f aca="true" t="shared" si="2" ref="S6:S28">$H$7</f>
        <v>0.57</v>
      </c>
      <c r="T6" s="34">
        <f t="shared" si="0"/>
        <v>1.0584666229423867</v>
      </c>
      <c r="U6" s="34">
        <f t="shared" si="1"/>
        <v>1.3078963878491374</v>
      </c>
      <c r="V6" s="34"/>
      <c r="W6" s="34">
        <v>0.134</v>
      </c>
      <c r="X6" s="34">
        <v>0.004</v>
      </c>
      <c r="Y6" s="34"/>
      <c r="Z6" s="34"/>
      <c r="AA6" s="34"/>
      <c r="AB6" s="34"/>
      <c r="AC6" s="34"/>
      <c r="AD6" s="34">
        <v>0.262</v>
      </c>
      <c r="AE6" s="34">
        <v>0.067</v>
      </c>
      <c r="AF6" s="34">
        <v>0.004</v>
      </c>
      <c r="AG6" s="34"/>
      <c r="AH6" s="34"/>
      <c r="AI6" s="34"/>
      <c r="AJ6" s="34"/>
    </row>
    <row r="7" spans="3:36" ht="12" customHeight="1">
      <c r="C7" s="5" t="s">
        <v>250</v>
      </c>
      <c r="D7" s="6">
        <v>1.14</v>
      </c>
      <c r="E7" s="7" t="s">
        <v>14</v>
      </c>
      <c r="G7" s="7" t="s">
        <v>47</v>
      </c>
      <c r="H7" s="13">
        <f>D7/2</f>
        <v>0.57</v>
      </c>
      <c r="I7" s="7" t="s">
        <v>15</v>
      </c>
      <c r="R7" s="32">
        <v>20</v>
      </c>
      <c r="S7" s="34">
        <f t="shared" si="2"/>
        <v>0.57</v>
      </c>
      <c r="T7" s="34">
        <f t="shared" si="0"/>
        <v>1.0167999562757202</v>
      </c>
      <c r="U7" s="34">
        <f t="shared" si="1"/>
        <v>1.24495312543779</v>
      </c>
      <c r="V7" s="34"/>
      <c r="W7" s="34">
        <v>0.254</v>
      </c>
      <c r="X7" s="34">
        <v>0.015</v>
      </c>
      <c r="Y7" s="34"/>
      <c r="Z7" s="34"/>
      <c r="AA7" s="34"/>
      <c r="AB7" s="34"/>
      <c r="AC7" s="34"/>
      <c r="AD7" s="34">
        <v>0.375</v>
      </c>
      <c r="AE7" s="34">
        <v>0.121</v>
      </c>
      <c r="AF7" s="34">
        <v>0.012</v>
      </c>
      <c r="AG7" s="34"/>
      <c r="AH7" s="34"/>
      <c r="AI7" s="34"/>
      <c r="AJ7" s="34"/>
    </row>
    <row r="8" spans="3:36" ht="12" customHeight="1">
      <c r="C8" s="5" t="s">
        <v>16</v>
      </c>
      <c r="D8" s="6">
        <v>240</v>
      </c>
      <c r="E8" s="7" t="s">
        <v>48</v>
      </c>
      <c r="G8" s="5" t="s">
        <v>17</v>
      </c>
      <c r="H8" s="12">
        <f>(D8*D15)/(D8+D15)</f>
        <v>158.8732394366197</v>
      </c>
      <c r="I8" s="7" t="s">
        <v>49</v>
      </c>
      <c r="K8" s="5" t="s">
        <v>118</v>
      </c>
      <c r="L8" s="12">
        <f>D5*(H8/(H8+D6))</f>
        <v>41.90094339622642</v>
      </c>
      <c r="M8" s="5" t="s">
        <v>18</v>
      </c>
      <c r="R8" s="32">
        <v>30</v>
      </c>
      <c r="S8" s="34">
        <f t="shared" si="2"/>
        <v>0.57</v>
      </c>
      <c r="T8" s="34">
        <f t="shared" si="0"/>
        <v>0.9751332896090534</v>
      </c>
      <c r="U8" s="34">
        <f t="shared" si="1"/>
        <v>1.1820098630264424</v>
      </c>
      <c r="V8" s="34"/>
      <c r="W8" s="34">
        <v>0.402</v>
      </c>
      <c r="X8" s="34">
        <v>0.045</v>
      </c>
      <c r="Y8" s="34"/>
      <c r="Z8" s="34"/>
      <c r="AA8" s="34"/>
      <c r="AB8" s="34"/>
      <c r="AC8" s="34"/>
      <c r="AD8" s="34">
        <v>0.498</v>
      </c>
      <c r="AE8" s="34">
        <v>0.189</v>
      </c>
      <c r="AF8" s="34">
        <v>0.031</v>
      </c>
      <c r="AG8" s="34"/>
      <c r="AH8" s="34"/>
      <c r="AI8" s="34"/>
      <c r="AJ8" s="34"/>
    </row>
    <row r="9" spans="2:36" ht="12" customHeight="1">
      <c r="B9" s="46" t="s">
        <v>229</v>
      </c>
      <c r="C9" s="52" t="s">
        <v>230</v>
      </c>
      <c r="D9" s="1">
        <v>66</v>
      </c>
      <c r="E9" s="46" t="s">
        <v>1</v>
      </c>
      <c r="G9" s="53" t="s">
        <v>233</v>
      </c>
      <c r="H9" s="1">
        <v>70</v>
      </c>
      <c r="I9" s="1" t="s">
        <v>232</v>
      </c>
      <c r="R9" s="32">
        <v>40</v>
      </c>
      <c r="S9" s="34">
        <f t="shared" si="2"/>
        <v>0.57</v>
      </c>
      <c r="T9" s="34">
        <f t="shared" si="0"/>
        <v>0.9334666229423867</v>
      </c>
      <c r="U9" s="34">
        <f t="shared" si="1"/>
        <v>1.1190666006150949</v>
      </c>
      <c r="V9" s="34"/>
      <c r="W9" s="34">
        <v>0.571</v>
      </c>
      <c r="X9" s="34">
        <v>0.103</v>
      </c>
      <c r="Y9" s="34">
        <v>0.005</v>
      </c>
      <c r="Z9" s="34"/>
      <c r="AA9" s="34"/>
      <c r="AB9" s="34"/>
      <c r="AC9" s="34"/>
      <c r="AD9" s="34">
        <v>0.623</v>
      </c>
      <c r="AE9" s="34">
        <v>0.271</v>
      </c>
      <c r="AF9" s="34">
        <v>0.063</v>
      </c>
      <c r="AG9" s="34">
        <v>0.004</v>
      </c>
      <c r="AH9" s="34"/>
      <c r="AI9" s="34"/>
      <c r="AJ9" s="34"/>
    </row>
    <row r="10" spans="3:36" ht="12" customHeight="1">
      <c r="C10" s="52" t="s">
        <v>231</v>
      </c>
      <c r="D10" s="1">
        <v>63</v>
      </c>
      <c r="E10" s="46" t="s">
        <v>1</v>
      </c>
      <c r="G10" s="53" t="s">
        <v>249</v>
      </c>
      <c r="H10" s="1">
        <v>80</v>
      </c>
      <c r="I10" s="1" t="s">
        <v>232</v>
      </c>
      <c r="R10" s="32">
        <v>50</v>
      </c>
      <c r="S10" s="34">
        <f t="shared" si="2"/>
        <v>0.57</v>
      </c>
      <c r="T10" s="34">
        <f t="shared" si="0"/>
        <v>0.8917999562757201</v>
      </c>
      <c r="U10" s="34">
        <f t="shared" si="1"/>
        <v>1.0561233382037474</v>
      </c>
      <c r="V10" s="34"/>
      <c r="W10" s="34">
        <v>0.755</v>
      </c>
      <c r="X10" s="34">
        <v>0.196</v>
      </c>
      <c r="Y10" s="34">
        <v>0.014</v>
      </c>
      <c r="Z10" s="34"/>
      <c r="AA10" s="34"/>
      <c r="AB10" s="34"/>
      <c r="AC10" s="34"/>
      <c r="AD10" s="34">
        <v>0.76</v>
      </c>
      <c r="AE10" s="34">
        <v>0.365</v>
      </c>
      <c r="AF10" s="34">
        <v>0.108</v>
      </c>
      <c r="AG10" s="34">
        <v>0.012</v>
      </c>
      <c r="AH10" s="34"/>
      <c r="AI10" s="34"/>
      <c r="AJ10" s="34"/>
    </row>
    <row r="11" spans="2:36" ht="12" customHeight="1">
      <c r="B11" s="46"/>
      <c r="C11" s="52" t="s">
        <v>260</v>
      </c>
      <c r="D11" s="1">
        <v>100</v>
      </c>
      <c r="E11" s="46" t="s">
        <v>1</v>
      </c>
      <c r="G11" s="53" t="s">
        <v>261</v>
      </c>
      <c r="H11" s="1">
        <v>80</v>
      </c>
      <c r="I11" s="1" t="s">
        <v>232</v>
      </c>
      <c r="R11" s="32">
        <v>60</v>
      </c>
      <c r="S11" s="34">
        <f t="shared" si="2"/>
        <v>0.57</v>
      </c>
      <c r="T11" s="34">
        <f t="shared" si="0"/>
        <v>0.8501332896090534</v>
      </c>
      <c r="U11" s="34">
        <f t="shared" si="1"/>
        <v>0.9931800757923999</v>
      </c>
      <c r="V11" s="34"/>
      <c r="W11" s="34">
        <v>0.952</v>
      </c>
      <c r="X11" s="34">
        <v>0.324</v>
      </c>
      <c r="Y11" s="34">
        <v>0.04</v>
      </c>
      <c r="Z11" s="34"/>
      <c r="AA11" s="34"/>
      <c r="AB11" s="34"/>
      <c r="AC11" s="34"/>
      <c r="AD11" s="34">
        <v>0.905</v>
      </c>
      <c r="AE11" s="34">
        <v>0.476</v>
      </c>
      <c r="AF11" s="34">
        <v>0.169</v>
      </c>
      <c r="AG11" s="34">
        <v>0.027</v>
      </c>
      <c r="AH11" s="34"/>
      <c r="AI11" s="34"/>
      <c r="AJ11" s="34"/>
    </row>
    <row r="12" spans="3:36" ht="12" customHeight="1">
      <c r="C12" s="52"/>
      <c r="E12" s="46"/>
      <c r="G12" s="53"/>
      <c r="R12" s="32">
        <v>70</v>
      </c>
      <c r="S12" s="34">
        <f t="shared" si="2"/>
        <v>0.57</v>
      </c>
      <c r="T12" s="34">
        <f t="shared" si="0"/>
        <v>0.8084666229423867</v>
      </c>
      <c r="U12" s="34">
        <f t="shared" si="1"/>
        <v>0.9302368133810524</v>
      </c>
      <c r="V12" s="34"/>
      <c r="W12" s="34">
        <v>1.163</v>
      </c>
      <c r="X12" s="34">
        <v>0.475</v>
      </c>
      <c r="Y12" s="34">
        <v>0.085</v>
      </c>
      <c r="Z12" s="34">
        <v>0.005</v>
      </c>
      <c r="AA12" s="34"/>
      <c r="AB12" s="34"/>
      <c r="AC12" s="34"/>
      <c r="AD12" s="34">
        <v>1.056</v>
      </c>
      <c r="AE12" s="34">
        <v>0.598</v>
      </c>
      <c r="AF12" s="34">
        <v>0.244</v>
      </c>
      <c r="AG12" s="34">
        <v>0.054</v>
      </c>
      <c r="AH12" s="34">
        <v>0.005</v>
      </c>
      <c r="AI12" s="34"/>
      <c r="AJ12" s="34"/>
    </row>
    <row r="13" spans="18:36" ht="12" customHeight="1">
      <c r="R13" s="32">
        <v>80</v>
      </c>
      <c r="S13" s="34">
        <f t="shared" si="2"/>
        <v>0.57</v>
      </c>
      <c r="T13" s="34">
        <f t="shared" si="0"/>
        <v>0.7667999562757201</v>
      </c>
      <c r="U13" s="34">
        <f t="shared" si="1"/>
        <v>0.8672935509697048</v>
      </c>
      <c r="V13" s="34"/>
      <c r="W13" s="34">
        <v>1.384</v>
      </c>
      <c r="X13" s="34">
        <v>0.643</v>
      </c>
      <c r="Y13" s="34">
        <v>0.16</v>
      </c>
      <c r="Z13" s="34">
        <v>0.015</v>
      </c>
      <c r="AA13" s="34"/>
      <c r="AB13" s="34"/>
      <c r="AC13" s="34"/>
      <c r="AD13" s="34">
        <v>1.22</v>
      </c>
      <c r="AE13" s="34">
        <v>0.728</v>
      </c>
      <c r="AF13" s="34">
        <v>0.335</v>
      </c>
      <c r="AG13" s="34">
        <v>0.095</v>
      </c>
      <c r="AH13" s="34">
        <v>0.011</v>
      </c>
      <c r="AI13" s="34"/>
      <c r="AJ13" s="34"/>
    </row>
    <row r="14" spans="2:36" ht="12" customHeight="1">
      <c r="B14" s="4" t="s">
        <v>19</v>
      </c>
      <c r="C14" s="5" t="s">
        <v>45</v>
      </c>
      <c r="D14" s="6">
        <v>1.8</v>
      </c>
      <c r="E14" s="7" t="s">
        <v>46</v>
      </c>
      <c r="R14" s="32">
        <v>90</v>
      </c>
      <c r="S14" s="34">
        <f t="shared" si="2"/>
        <v>0.57</v>
      </c>
      <c r="T14" s="34">
        <f t="shared" si="0"/>
        <v>0.7251332896090534</v>
      </c>
      <c r="U14" s="34">
        <f t="shared" si="1"/>
        <v>0.8043502885583573</v>
      </c>
      <c r="V14" s="34"/>
      <c r="W14" s="34">
        <v>1.615</v>
      </c>
      <c r="X14" s="34">
        <v>0.83</v>
      </c>
      <c r="Y14" s="34">
        <v>0.266</v>
      </c>
      <c r="Z14" s="34">
        <v>0.035</v>
      </c>
      <c r="AA14" s="34"/>
      <c r="AB14" s="34"/>
      <c r="AC14" s="34"/>
      <c r="AD14" s="34">
        <v>1.387</v>
      </c>
      <c r="AE14" s="34">
        <v>0.87</v>
      </c>
      <c r="AF14" s="34">
        <v>0.438</v>
      </c>
      <c r="AG14" s="34">
        <v>0.148</v>
      </c>
      <c r="AH14" s="34">
        <v>0.024</v>
      </c>
      <c r="AI14" s="34"/>
      <c r="AJ14" s="34"/>
    </row>
    <row r="15" spans="3:36" ht="12" customHeight="1">
      <c r="C15" s="5" t="s">
        <v>20</v>
      </c>
      <c r="D15" s="6">
        <v>470</v>
      </c>
      <c r="E15" s="7" t="s">
        <v>51</v>
      </c>
      <c r="G15" s="7" t="s">
        <v>50</v>
      </c>
      <c r="H15" s="12">
        <f>L39</f>
        <v>276.7219895061728</v>
      </c>
      <c r="I15" s="7" t="s">
        <v>8</v>
      </c>
      <c r="R15" s="32">
        <v>100</v>
      </c>
      <c r="S15" s="34">
        <f t="shared" si="2"/>
        <v>0.57</v>
      </c>
      <c r="T15" s="34">
        <f t="shared" si="0"/>
        <v>0.6834666229423867</v>
      </c>
      <c r="U15" s="34">
        <f t="shared" si="1"/>
        <v>0.7414070261470098</v>
      </c>
      <c r="V15" s="34"/>
      <c r="W15" s="34"/>
      <c r="X15" s="34">
        <v>1.033</v>
      </c>
      <c r="Y15" s="34">
        <v>0.402</v>
      </c>
      <c r="Z15" s="34">
        <v>0.072</v>
      </c>
      <c r="AA15" s="34">
        <v>0.006</v>
      </c>
      <c r="AB15" s="34"/>
      <c r="AC15" s="34"/>
      <c r="AD15" s="34">
        <v>1.566</v>
      </c>
      <c r="AE15" s="34">
        <v>1.019</v>
      </c>
      <c r="AF15" s="34">
        <v>0.552</v>
      </c>
      <c r="AG15" s="34">
        <v>0.217</v>
      </c>
      <c r="AH15" s="34">
        <v>0.047</v>
      </c>
      <c r="AI15" s="34">
        <v>0.005</v>
      </c>
      <c r="AJ15" s="34"/>
    </row>
    <row r="16" spans="3:36" ht="12" customHeight="1">
      <c r="C16" s="5" t="s">
        <v>79</v>
      </c>
      <c r="D16" s="14">
        <v>160</v>
      </c>
      <c r="E16" s="5" t="s">
        <v>22</v>
      </c>
      <c r="G16" s="5" t="s">
        <v>13</v>
      </c>
      <c r="H16" s="8">
        <f>L29</f>
        <v>69.44444444444444</v>
      </c>
      <c r="I16" s="7" t="s">
        <v>14</v>
      </c>
      <c r="K16" s="5" t="s">
        <v>21</v>
      </c>
      <c r="L16" s="12">
        <f>H15-H18</f>
        <v>271.16643395061726</v>
      </c>
      <c r="M16" s="7" t="s">
        <v>12</v>
      </c>
      <c r="R16" s="32">
        <v>110</v>
      </c>
      <c r="S16" s="34">
        <f t="shared" si="2"/>
        <v>0.57</v>
      </c>
      <c r="T16" s="34">
        <f t="shared" si="0"/>
        <v>0.6417999562757201</v>
      </c>
      <c r="U16" s="34">
        <f t="shared" si="1"/>
        <v>0.6784637637356622</v>
      </c>
      <c r="V16" s="34"/>
      <c r="W16" s="34"/>
      <c r="X16" s="34">
        <v>1.248</v>
      </c>
      <c r="Y16" s="34">
        <v>0.556</v>
      </c>
      <c r="Z16" s="34">
        <v>0.135</v>
      </c>
      <c r="AA16" s="34">
        <v>0.014</v>
      </c>
      <c r="AB16" s="34"/>
      <c r="AC16" s="34"/>
      <c r="AD16" s="34"/>
      <c r="AE16" s="34">
        <v>1.177</v>
      </c>
      <c r="AF16" s="34">
        <v>0.677</v>
      </c>
      <c r="AG16" s="34">
        <v>0.301</v>
      </c>
      <c r="AH16" s="34">
        <v>0.084</v>
      </c>
      <c r="AI16" s="34">
        <v>0.011</v>
      </c>
      <c r="AJ16" s="34"/>
    </row>
    <row r="17" spans="3:36" ht="12" customHeight="1">
      <c r="C17" s="5" t="s">
        <v>102</v>
      </c>
      <c r="D17" s="15">
        <v>21</v>
      </c>
      <c r="E17" s="7" t="s">
        <v>8</v>
      </c>
      <c r="G17" s="7" t="s">
        <v>52</v>
      </c>
      <c r="H17" s="12">
        <f>H16/2</f>
        <v>34.72222222222222</v>
      </c>
      <c r="I17" s="7" t="s">
        <v>15</v>
      </c>
      <c r="K17" s="5" t="s">
        <v>3</v>
      </c>
      <c r="L17" s="12">
        <f>L16-D17</f>
        <v>250.16643395061726</v>
      </c>
      <c r="M17" s="7" t="s">
        <v>8</v>
      </c>
      <c r="R17" s="32">
        <v>120</v>
      </c>
      <c r="S17" s="34">
        <f t="shared" si="2"/>
        <v>0.57</v>
      </c>
      <c r="T17" s="34">
        <f t="shared" si="0"/>
        <v>0.6001332896090534</v>
      </c>
      <c r="U17" s="34">
        <f t="shared" si="1"/>
        <v>0.6155205013243147</v>
      </c>
      <c r="V17" s="34"/>
      <c r="W17" s="34"/>
      <c r="X17" s="34">
        <v>1.472</v>
      </c>
      <c r="Y17" s="34">
        <v>0.733</v>
      </c>
      <c r="Z17" s="34">
        <v>0.224</v>
      </c>
      <c r="AA17" s="34">
        <v>0.033</v>
      </c>
      <c r="AB17" s="34"/>
      <c r="AC17" s="34"/>
      <c r="AD17" s="34"/>
      <c r="AE17" s="34">
        <v>1.343</v>
      </c>
      <c r="AF17" s="34">
        <v>0.812</v>
      </c>
      <c r="AG17" s="34">
        <v>0.399</v>
      </c>
      <c r="AH17" s="34">
        <v>0.13</v>
      </c>
      <c r="AI17" s="34">
        <v>0.022</v>
      </c>
      <c r="AJ17" s="34"/>
    </row>
    <row r="18" spans="3:36" ht="12" customHeight="1">
      <c r="C18" s="5" t="s">
        <v>96</v>
      </c>
      <c r="D18" s="15">
        <v>19</v>
      </c>
      <c r="E18" s="7" t="s">
        <v>97</v>
      </c>
      <c r="G18" s="7" t="s">
        <v>53</v>
      </c>
      <c r="H18" s="12">
        <f>D16*H17/1000</f>
        <v>5.555555555555555</v>
      </c>
      <c r="I18" s="7" t="s">
        <v>8</v>
      </c>
      <c r="K18" s="5" t="s">
        <v>4</v>
      </c>
      <c r="L18" s="12">
        <f>L17*H17/1000</f>
        <v>8.68633451217421</v>
      </c>
      <c r="M18" s="7" t="s">
        <v>23</v>
      </c>
      <c r="R18" s="32">
        <v>130</v>
      </c>
      <c r="S18" s="34">
        <f t="shared" si="2"/>
        <v>0.57</v>
      </c>
      <c r="T18" s="34">
        <f t="shared" si="0"/>
        <v>0.5584666229423867</v>
      </c>
      <c r="U18" s="34">
        <f t="shared" si="1"/>
        <v>0.5525772389129672</v>
      </c>
      <c r="V18" s="34"/>
      <c r="W18" s="34"/>
      <c r="X18" s="34">
        <v>1.705</v>
      </c>
      <c r="Y18" s="34">
        <v>0.923</v>
      </c>
      <c r="Z18" s="34">
        <v>0.34</v>
      </c>
      <c r="AA18" s="34">
        <v>0.066</v>
      </c>
      <c r="AB18" s="34">
        <v>0.007</v>
      </c>
      <c r="AC18" s="34"/>
      <c r="AD18" s="34"/>
      <c r="AE18" s="34">
        <v>1.515</v>
      </c>
      <c r="AF18" s="34">
        <v>0.958</v>
      </c>
      <c r="AG18" s="34">
        <v>0.505</v>
      </c>
      <c r="AH18" s="34">
        <v>0.193</v>
      </c>
      <c r="AI18" s="34">
        <v>0.042</v>
      </c>
      <c r="AJ18" s="34">
        <v>0.006</v>
      </c>
    </row>
    <row r="19" spans="2:36" ht="12" customHeight="1">
      <c r="B19" s="46" t="s">
        <v>229</v>
      </c>
      <c r="C19" s="53" t="s">
        <v>234</v>
      </c>
      <c r="D19" s="1">
        <v>1.8</v>
      </c>
      <c r="E19" s="1" t="s">
        <v>69</v>
      </c>
      <c r="R19" s="32">
        <v>140</v>
      </c>
      <c r="S19" s="34">
        <f t="shared" si="2"/>
        <v>0.57</v>
      </c>
      <c r="T19" s="34">
        <f t="shared" si="0"/>
        <v>0.5167999562757201</v>
      </c>
      <c r="U19" s="34">
        <f t="shared" si="1"/>
        <v>0.48963397650161966</v>
      </c>
      <c r="V19" s="34"/>
      <c r="W19" s="34"/>
      <c r="X19" s="34"/>
      <c r="Y19" s="34">
        <v>1.137</v>
      </c>
      <c r="Z19" s="34">
        <v>0.48</v>
      </c>
      <c r="AA19" s="34">
        <v>0.118</v>
      </c>
      <c r="AB19" s="34">
        <v>0.015</v>
      </c>
      <c r="AC19" s="34"/>
      <c r="AD19" s="34"/>
      <c r="AE19" s="34"/>
      <c r="AF19" s="34">
        <v>1.115</v>
      </c>
      <c r="AG19" s="34">
        <v>0.63</v>
      </c>
      <c r="AH19" s="34">
        <v>0.273</v>
      </c>
      <c r="AI19" s="34">
        <v>0.073</v>
      </c>
      <c r="AJ19" s="34">
        <v>0.011</v>
      </c>
    </row>
    <row r="20" spans="3:36" ht="12" customHeight="1">
      <c r="C20" s="53" t="s">
        <v>235</v>
      </c>
      <c r="D20" s="1">
        <v>1.4</v>
      </c>
      <c r="E20" s="1" t="s">
        <v>69</v>
      </c>
      <c r="G20" s="5" t="s">
        <v>243</v>
      </c>
      <c r="H20" s="12">
        <v>0.4</v>
      </c>
      <c r="I20" s="28" t="s">
        <v>113</v>
      </c>
      <c r="K20" s="5" t="s">
        <v>247</v>
      </c>
      <c r="L20" s="12">
        <f>D25/H21</f>
        <v>1.8518518518518516</v>
      </c>
      <c r="M20" s="7"/>
      <c r="R20" s="32">
        <v>150</v>
      </c>
      <c r="S20" s="34">
        <f t="shared" si="2"/>
        <v>0.57</v>
      </c>
      <c r="T20" s="34">
        <f t="shared" si="0"/>
        <v>0.4751332896090534</v>
      </c>
      <c r="U20" s="34">
        <f t="shared" si="1"/>
        <v>0.42669071409027215</v>
      </c>
      <c r="V20" s="34"/>
      <c r="W20" s="34"/>
      <c r="X20" s="34"/>
      <c r="Y20" s="34">
        <v>1.344</v>
      </c>
      <c r="Z20" s="34">
        <v>0.646</v>
      </c>
      <c r="AA20" s="34">
        <v>0.195</v>
      </c>
      <c r="AB20" s="34">
        <v>0.031</v>
      </c>
      <c r="AC20" s="34"/>
      <c r="AD20" s="34"/>
      <c r="AE20" s="34"/>
      <c r="AF20" s="34">
        <v>1.276</v>
      </c>
      <c r="AG20" s="34">
        <v>0.762</v>
      </c>
      <c r="AH20" s="34">
        <v>0.364</v>
      </c>
      <c r="AI20" s="34">
        <v>0.117</v>
      </c>
      <c r="AJ20" s="34">
        <v>0.021</v>
      </c>
    </row>
    <row r="21" spans="2:36" ht="12" customHeight="1">
      <c r="B21" s="46"/>
      <c r="C21" s="53" t="s">
        <v>236</v>
      </c>
      <c r="D21" s="1">
        <v>1.8</v>
      </c>
      <c r="E21" s="1" t="s">
        <v>69</v>
      </c>
      <c r="G21" s="5" t="s">
        <v>262</v>
      </c>
      <c r="H21" s="12">
        <f>((D14*1000*2)+(D16*2))/(D23*1000/D25)+H20</f>
        <v>4.32</v>
      </c>
      <c r="I21" s="28" t="s">
        <v>113</v>
      </c>
      <c r="K21" s="5" t="s">
        <v>248</v>
      </c>
      <c r="L21" s="12">
        <f>(L20+1)*L26-1</f>
        <v>2.8002271139063595</v>
      </c>
      <c r="M21" s="7"/>
      <c r="R21" s="32">
        <v>160</v>
      </c>
      <c r="S21" s="34">
        <f t="shared" si="2"/>
        <v>0.57</v>
      </c>
      <c r="T21" s="34">
        <f t="shared" si="0"/>
        <v>0.4334666229423867</v>
      </c>
      <c r="U21" s="34">
        <f t="shared" si="1"/>
        <v>0.36374745167892464</v>
      </c>
      <c r="V21" s="34"/>
      <c r="W21" s="34"/>
      <c r="X21" s="34"/>
      <c r="Y21" s="34">
        <v>1.565</v>
      </c>
      <c r="Z21" s="34">
        <v>0.824</v>
      </c>
      <c r="AA21" s="34">
        <v>0.298</v>
      </c>
      <c r="AB21" s="34">
        <v>0.059</v>
      </c>
      <c r="AC21" s="34">
        <v>0.007</v>
      </c>
      <c r="AD21" s="34"/>
      <c r="AE21" s="34"/>
      <c r="AF21" s="34">
        <v>1.444</v>
      </c>
      <c r="AG21" s="34">
        <v>0.901</v>
      </c>
      <c r="AH21" s="34">
        <v>0.467</v>
      </c>
      <c r="AI21" s="34">
        <v>0.174</v>
      </c>
      <c r="AJ21" s="34">
        <v>0.038</v>
      </c>
    </row>
    <row r="22" spans="7:36" ht="12" customHeight="1">
      <c r="G22" s="30"/>
      <c r="R22" s="32">
        <v>170</v>
      </c>
      <c r="S22" s="34">
        <f t="shared" si="2"/>
        <v>0.57</v>
      </c>
      <c r="T22" s="34">
        <f t="shared" si="0"/>
        <v>0.39179995627572006</v>
      </c>
      <c r="U22" s="34">
        <f t="shared" si="1"/>
        <v>0.3008041892675771</v>
      </c>
      <c r="V22" s="34"/>
      <c r="W22" s="34"/>
      <c r="X22" s="34"/>
      <c r="Y22" s="34"/>
      <c r="Z22" s="34">
        <v>1.018</v>
      </c>
      <c r="AA22" s="34">
        <v>0.425</v>
      </c>
      <c r="AB22" s="34">
        <v>0.105</v>
      </c>
      <c r="AC22" s="34">
        <v>0.014</v>
      </c>
      <c r="AD22" s="34"/>
      <c r="AE22" s="34"/>
      <c r="AF22" s="34">
        <v>1.617</v>
      </c>
      <c r="AG22" s="34">
        <v>1.052</v>
      </c>
      <c r="AH22" s="34">
        <v>0.582</v>
      </c>
      <c r="AI22" s="34">
        <v>0.246</v>
      </c>
      <c r="AJ22" s="34">
        <v>0.064</v>
      </c>
    </row>
    <row r="23" spans="2:36" ht="12" customHeight="1">
      <c r="B23" s="18" t="s">
        <v>67</v>
      </c>
      <c r="C23" s="5" t="s">
        <v>68</v>
      </c>
      <c r="D23" s="15">
        <v>8</v>
      </c>
      <c r="E23" s="7" t="s">
        <v>69</v>
      </c>
      <c r="G23" s="5" t="s">
        <v>244</v>
      </c>
      <c r="H23" s="16">
        <f>H17*H17*D23/2000</f>
        <v>4.822530864197531</v>
      </c>
      <c r="I23" s="7" t="s">
        <v>71</v>
      </c>
      <c r="K23" s="5" t="s">
        <v>73</v>
      </c>
      <c r="L23" s="16">
        <f>D17*2/(L8*SQRT(2))</f>
        <v>0.708778428423395</v>
      </c>
      <c r="M23" s="7" t="s">
        <v>0</v>
      </c>
      <c r="R23" s="32">
        <v>180</v>
      </c>
      <c r="S23" s="34">
        <f t="shared" si="2"/>
        <v>0.57</v>
      </c>
      <c r="T23" s="34">
        <f t="shared" si="0"/>
        <v>0.3501332896090534</v>
      </c>
      <c r="U23" s="34">
        <f t="shared" si="1"/>
        <v>0.23786092685622962</v>
      </c>
      <c r="V23" s="34"/>
      <c r="W23" s="34"/>
      <c r="X23" s="34"/>
      <c r="Y23" s="34"/>
      <c r="Z23" s="34">
        <v>1.23</v>
      </c>
      <c r="AA23" s="34">
        <v>0.574</v>
      </c>
      <c r="AB23" s="34">
        <v>0.173</v>
      </c>
      <c r="AC23" s="34">
        <v>0.029</v>
      </c>
      <c r="AD23" s="34"/>
      <c r="AE23" s="34"/>
      <c r="AF23" s="34"/>
      <c r="AG23" s="34">
        <v>1.21</v>
      </c>
      <c r="AH23" s="34">
        <v>0.71</v>
      </c>
      <c r="AI23" s="34">
        <v>0.33</v>
      </c>
      <c r="AJ23" s="34">
        <v>0.102</v>
      </c>
    </row>
    <row r="24" spans="3:36" ht="12" customHeight="1">
      <c r="C24" s="5" t="s">
        <v>70</v>
      </c>
      <c r="D24" s="29">
        <v>0.9</v>
      </c>
      <c r="E24" s="5" t="s">
        <v>1</v>
      </c>
      <c r="G24" s="5" t="s">
        <v>245</v>
      </c>
      <c r="H24" s="16">
        <f>H23*D24</f>
        <v>4.340277777777778</v>
      </c>
      <c r="I24" s="7" t="s">
        <v>71</v>
      </c>
      <c r="K24" s="5" t="s">
        <v>74</v>
      </c>
      <c r="L24" s="16">
        <f>H25/L23</f>
        <v>8.313679245283021</v>
      </c>
      <c r="M24" s="5" t="s">
        <v>1</v>
      </c>
      <c r="R24" s="32">
        <v>190</v>
      </c>
      <c r="S24" s="34">
        <f t="shared" si="2"/>
        <v>0.57</v>
      </c>
      <c r="T24" s="34">
        <f t="shared" si="0"/>
        <v>0.3084666229423867</v>
      </c>
      <c r="U24" s="34">
        <f t="shared" si="1"/>
        <v>0.17491766444488205</v>
      </c>
      <c r="V24" s="34"/>
      <c r="W24" s="34"/>
      <c r="X24" s="34"/>
      <c r="Y24" s="34"/>
      <c r="Z24" s="34">
        <v>1.447</v>
      </c>
      <c r="AA24" s="34">
        <v>0.742</v>
      </c>
      <c r="AB24" s="34">
        <v>0.261</v>
      </c>
      <c r="AC24" s="34">
        <v>0.055</v>
      </c>
      <c r="AD24" s="34"/>
      <c r="AE24" s="34"/>
      <c r="AF24" s="34"/>
      <c r="AG24" s="34">
        <v>1.372</v>
      </c>
      <c r="AH24" s="34">
        <v>0.844</v>
      </c>
      <c r="AI24" s="34">
        <v>0.426</v>
      </c>
      <c r="AJ24" s="34">
        <v>0.152</v>
      </c>
    </row>
    <row r="25" spans="3:36" ht="12" customHeight="1">
      <c r="C25" s="5" t="s">
        <v>72</v>
      </c>
      <c r="D25" s="15">
        <v>8</v>
      </c>
      <c r="E25" s="5" t="s">
        <v>252</v>
      </c>
      <c r="G25" s="5" t="s">
        <v>246</v>
      </c>
      <c r="H25" s="16">
        <f>SQRT(H24*D25)</f>
        <v>5.892556509887896</v>
      </c>
      <c r="I25" s="7" t="s">
        <v>0</v>
      </c>
      <c r="K25" s="5" t="s">
        <v>77</v>
      </c>
      <c r="L25" s="16">
        <f>(L24*(D26*1000+D27)/D27)/(L24+(D26*1000+D27)/D27)</f>
        <v>6.238938053097346</v>
      </c>
      <c r="M25" s="5" t="s">
        <v>1</v>
      </c>
      <c r="R25" s="32">
        <v>200</v>
      </c>
      <c r="S25" s="34">
        <f t="shared" si="2"/>
        <v>0.57</v>
      </c>
      <c r="T25" s="34">
        <f t="shared" si="0"/>
        <v>0.26679995627572006</v>
      </c>
      <c r="U25" s="34">
        <f t="shared" si="1"/>
        <v>0.11197440203353454</v>
      </c>
      <c r="V25" s="34"/>
      <c r="W25" s="34"/>
      <c r="X25" s="34"/>
      <c r="Y25" s="34"/>
      <c r="Z25" s="34">
        <v>1.675</v>
      </c>
      <c r="AA25" s="34">
        <v>0.927</v>
      </c>
      <c r="AB25" s="34">
        <v>0.376</v>
      </c>
      <c r="AC25" s="34">
        <v>0.094</v>
      </c>
      <c r="AD25" s="34"/>
      <c r="AE25" s="34"/>
      <c r="AF25" s="34"/>
      <c r="AG25" s="34">
        <v>1.543</v>
      </c>
      <c r="AH25" s="34">
        <v>0.987</v>
      </c>
      <c r="AI25" s="34">
        <v>0.536</v>
      </c>
      <c r="AJ25" s="34">
        <v>0.217</v>
      </c>
    </row>
    <row r="26" spans="3:36" ht="12" customHeight="1">
      <c r="C26" s="5" t="s">
        <v>75</v>
      </c>
      <c r="D26" s="15">
        <v>2.4</v>
      </c>
      <c r="E26" s="28" t="s">
        <v>2</v>
      </c>
      <c r="K26" s="5" t="s">
        <v>78</v>
      </c>
      <c r="L26" s="16">
        <f>L24/L25</f>
        <v>1.332547169811321</v>
      </c>
      <c r="M26" s="5" t="s">
        <v>1</v>
      </c>
      <c r="R26" s="32">
        <v>210</v>
      </c>
      <c r="S26" s="34">
        <f t="shared" si="2"/>
        <v>0.57</v>
      </c>
      <c r="T26" s="34">
        <f t="shared" si="0"/>
        <v>0.22513328960905338</v>
      </c>
      <c r="U26" s="34">
        <f t="shared" si="1"/>
        <v>0.04903113962218708</v>
      </c>
      <c r="V26" s="34"/>
      <c r="W26" s="34"/>
      <c r="X26" s="34"/>
      <c r="Y26" s="34"/>
      <c r="Z26" s="34"/>
      <c r="AA26" s="34">
        <v>1.125</v>
      </c>
      <c r="AB26" s="34">
        <v>0.512</v>
      </c>
      <c r="AC26" s="34">
        <v>0.152</v>
      </c>
      <c r="AD26" s="34"/>
      <c r="AE26" s="34"/>
      <c r="AF26" s="34"/>
      <c r="AG26" s="34"/>
      <c r="AH26" s="34">
        <v>1.139</v>
      </c>
      <c r="AI26" s="34">
        <v>0.656</v>
      </c>
      <c r="AJ26" s="34">
        <v>0.295</v>
      </c>
    </row>
    <row r="27" spans="3:36" ht="12" customHeight="1">
      <c r="C27" s="5" t="s">
        <v>76</v>
      </c>
      <c r="D27" s="15">
        <v>100</v>
      </c>
      <c r="E27" s="5" t="s">
        <v>113</v>
      </c>
      <c r="K27" s="5" t="s">
        <v>78</v>
      </c>
      <c r="L27" s="16">
        <f>20*LOG10(L26)</f>
        <v>2.493651824534119</v>
      </c>
      <c r="M27" s="7" t="s">
        <v>259</v>
      </c>
      <c r="R27" s="32">
        <v>220</v>
      </c>
      <c r="S27" s="34">
        <f t="shared" si="2"/>
        <v>0.57</v>
      </c>
      <c r="T27" s="34">
        <f t="shared" si="0"/>
        <v>0.1834666229423867</v>
      </c>
      <c r="U27" s="34">
        <f t="shared" si="1"/>
        <v>-0.013912122789160541</v>
      </c>
      <c r="V27" s="34"/>
      <c r="W27" s="34"/>
      <c r="X27" s="34"/>
      <c r="Y27" s="34"/>
      <c r="Z27" s="34"/>
      <c r="AA27" s="34">
        <v>1.336</v>
      </c>
      <c r="AB27" s="34">
        <v>0.67</v>
      </c>
      <c r="AC27" s="34">
        <v>0.23</v>
      </c>
      <c r="AD27" s="34"/>
      <c r="AE27" s="34"/>
      <c r="AF27" s="34"/>
      <c r="AG27" s="34"/>
      <c r="AH27" s="34">
        <v>1.3</v>
      </c>
      <c r="AI27" s="34">
        <v>0.786</v>
      </c>
      <c r="AJ27" s="34">
        <v>0.386</v>
      </c>
    </row>
    <row r="28" spans="18:36" ht="12" customHeight="1">
      <c r="R28" s="50">
        <f>H5</f>
        <v>264.0319895061728</v>
      </c>
      <c r="S28" s="34">
        <f t="shared" si="2"/>
        <v>0.57</v>
      </c>
      <c r="T28" s="34">
        <f t="shared" si="0"/>
        <v>0</v>
      </c>
      <c r="U28" s="34">
        <f t="shared" si="1"/>
        <v>-0.291063829787234</v>
      </c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ht="12" customHeight="1">
      <c r="B29" s="4" t="s">
        <v>24</v>
      </c>
      <c r="C29" s="5" t="s">
        <v>117</v>
      </c>
      <c r="D29" s="6">
        <v>1.25</v>
      </c>
      <c r="E29" s="7" t="s">
        <v>8</v>
      </c>
      <c r="G29" s="5" t="s">
        <v>108</v>
      </c>
      <c r="H29" s="17">
        <f>(D17-D29)*L29/1000</f>
        <v>1.371527777777778</v>
      </c>
      <c r="I29" s="7" t="s">
        <v>23</v>
      </c>
      <c r="K29" s="5" t="s">
        <v>13</v>
      </c>
      <c r="L29" s="8">
        <f>D29/D30*1000</f>
        <v>69.44444444444444</v>
      </c>
      <c r="M29" s="7" t="s">
        <v>14</v>
      </c>
      <c r="R29" s="50">
        <f>L6</f>
        <v>127.23198950617282</v>
      </c>
      <c r="S29" s="34"/>
      <c r="T29" s="34"/>
      <c r="U29" s="34"/>
      <c r="V29" s="34">
        <f>H7</f>
        <v>0.57</v>
      </c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3:21" ht="12" customHeight="1">
      <c r="C30" s="5" t="s">
        <v>107</v>
      </c>
      <c r="D30" s="6">
        <v>18</v>
      </c>
      <c r="E30" s="5" t="s">
        <v>5</v>
      </c>
      <c r="G30" s="5" t="s">
        <v>109</v>
      </c>
      <c r="H30" s="16">
        <f>L29*D29/1000</f>
        <v>0.08680555555555555</v>
      </c>
      <c r="I30" s="7" t="s">
        <v>25</v>
      </c>
      <c r="T30" s="34">
        <f>D8</f>
        <v>240</v>
      </c>
      <c r="U30" s="36">
        <f>H8</f>
        <v>158.8732394366197</v>
      </c>
    </row>
    <row r="31" spans="20:26" ht="12" customHeight="1">
      <c r="T31" s="37">
        <f>R29</f>
        <v>127.23198950617282</v>
      </c>
      <c r="U31" s="36">
        <f>R29</f>
        <v>127.23198950617282</v>
      </c>
      <c r="V31" s="30"/>
      <c r="W31" s="30"/>
      <c r="X31" s="30"/>
      <c r="Y31" s="30"/>
      <c r="Z31" s="30"/>
    </row>
    <row r="32" spans="2:13" ht="12" customHeight="1">
      <c r="B32" s="18" t="s">
        <v>101</v>
      </c>
      <c r="C32" s="19" t="s">
        <v>110</v>
      </c>
      <c r="D32" s="20">
        <v>250</v>
      </c>
      <c r="E32" s="21" t="s">
        <v>8</v>
      </c>
      <c r="G32" s="5" t="s">
        <v>253</v>
      </c>
      <c r="H32" s="12">
        <f>((D32*1.414)-(D32*1.25))/D33*1100+D36*1.5</f>
        <v>291.05555555555554</v>
      </c>
      <c r="I32" s="28" t="s">
        <v>113</v>
      </c>
      <c r="K32" s="19" t="s">
        <v>27</v>
      </c>
      <c r="L32" s="12">
        <f>(D32*1.4*D44/100)-(L44*H32/1000)</f>
        <v>308.7897672839506</v>
      </c>
      <c r="M32" s="21" t="s">
        <v>28</v>
      </c>
    </row>
    <row r="33" spans="3:36" ht="12" customHeight="1">
      <c r="C33" s="19" t="s">
        <v>111</v>
      </c>
      <c r="D33" s="20">
        <v>180</v>
      </c>
      <c r="E33" s="21" t="s">
        <v>112</v>
      </c>
      <c r="W33" s="42" t="s">
        <v>240</v>
      </c>
      <c r="X33" s="43"/>
      <c r="Y33" s="43"/>
      <c r="Z33" s="43"/>
      <c r="AA33" s="43"/>
      <c r="AB33" s="43"/>
      <c r="AC33" s="42" t="s">
        <v>239</v>
      </c>
      <c r="AD33" s="43"/>
      <c r="AE33" s="43"/>
      <c r="AF33" s="43"/>
      <c r="AG33" s="43"/>
      <c r="AH33" s="39"/>
      <c r="AI33" s="39"/>
      <c r="AJ33" s="40"/>
    </row>
    <row r="34" spans="3:36" ht="12" customHeight="1">
      <c r="C34" s="46" t="s">
        <v>228</v>
      </c>
      <c r="R34" s="34"/>
      <c r="S34" s="18" t="s">
        <v>92</v>
      </c>
      <c r="T34" s="18" t="s">
        <v>98</v>
      </c>
      <c r="U34" s="18" t="s">
        <v>90</v>
      </c>
      <c r="V34" s="18" t="s">
        <v>89</v>
      </c>
      <c r="W34" s="45" t="s">
        <v>143</v>
      </c>
      <c r="X34" s="45" t="s">
        <v>202</v>
      </c>
      <c r="Y34" s="45" t="s">
        <v>80</v>
      </c>
      <c r="Z34" s="45" t="s">
        <v>81</v>
      </c>
      <c r="AA34" s="45" t="s">
        <v>93</v>
      </c>
      <c r="AB34" s="45" t="s">
        <v>94</v>
      </c>
      <c r="AC34" s="45" t="s">
        <v>82</v>
      </c>
      <c r="AD34" s="45" t="s">
        <v>103</v>
      </c>
      <c r="AE34" s="45" t="s">
        <v>81</v>
      </c>
      <c r="AF34" s="45" t="s">
        <v>104</v>
      </c>
      <c r="AG34" s="45" t="s">
        <v>95</v>
      </c>
      <c r="AH34" s="41"/>
      <c r="AI34" s="41"/>
      <c r="AJ34" s="41"/>
    </row>
    <row r="35" spans="18:36" ht="12" customHeight="1">
      <c r="R35" s="32">
        <v>0</v>
      </c>
      <c r="S35" s="36">
        <f aca="true" t="shared" si="3" ref="S35:S55">$H$17</f>
        <v>34.72222222222222</v>
      </c>
      <c r="T35" s="34"/>
      <c r="U35" s="34">
        <f aca="true" t="shared" si="4" ref="U35:U55">(U$61-R35)/U$60+S35</f>
        <v>97.26383070987654</v>
      </c>
      <c r="V35" s="34"/>
      <c r="W35" s="34">
        <v>0</v>
      </c>
      <c r="X35" s="34"/>
      <c r="Y35" s="34"/>
      <c r="Z35" s="34"/>
      <c r="AA35" s="34"/>
      <c r="AB35" s="34"/>
      <c r="AC35" s="34">
        <v>0</v>
      </c>
      <c r="AD35" s="34"/>
      <c r="AE35" s="34"/>
      <c r="AF35" s="34"/>
      <c r="AG35" s="34"/>
      <c r="AH35" s="34"/>
      <c r="AI35" s="34"/>
      <c r="AJ35" s="34"/>
    </row>
    <row r="36" spans="2:36" ht="12" customHeight="1">
      <c r="B36" s="18" t="s">
        <v>115</v>
      </c>
      <c r="C36" s="7" t="s">
        <v>114</v>
      </c>
      <c r="D36" s="6">
        <v>27</v>
      </c>
      <c r="E36" s="5" t="s">
        <v>29</v>
      </c>
      <c r="R36" s="32">
        <v>20</v>
      </c>
      <c r="S36" s="36">
        <f t="shared" si="3"/>
        <v>34.72222222222222</v>
      </c>
      <c r="T36" s="34">
        <f aca="true" t="shared" si="5" ref="T36:T57">$D$18*1000/R36</f>
        <v>950</v>
      </c>
      <c r="U36" s="34">
        <f t="shared" si="4"/>
        <v>92.26383070987654</v>
      </c>
      <c r="V36" s="34"/>
      <c r="W36" s="34">
        <v>8</v>
      </c>
      <c r="X36" s="34"/>
      <c r="Y36" s="34"/>
      <c r="Z36" s="34"/>
      <c r="AA36" s="34"/>
      <c r="AB36" s="34"/>
      <c r="AC36" s="34">
        <v>7</v>
      </c>
      <c r="AD36" s="34"/>
      <c r="AE36" s="34"/>
      <c r="AF36" s="34"/>
      <c r="AG36" s="34"/>
      <c r="AH36" s="34"/>
      <c r="AI36" s="34"/>
      <c r="AJ36" s="34"/>
    </row>
    <row r="37" spans="3:36" ht="12" customHeight="1">
      <c r="C37" s="7" t="s">
        <v>255</v>
      </c>
      <c r="D37" s="6">
        <v>100</v>
      </c>
      <c r="E37" s="5" t="s">
        <v>29</v>
      </c>
      <c r="G37" s="7" t="s">
        <v>55</v>
      </c>
      <c r="H37" s="12">
        <f>L44*D37/1000</f>
        <v>14.158888888888887</v>
      </c>
      <c r="I37" s="7" t="s">
        <v>8</v>
      </c>
      <c r="K37" s="7" t="s">
        <v>57</v>
      </c>
      <c r="L37" s="22">
        <f>L32-H37</f>
        <v>294.6308783950617</v>
      </c>
      <c r="M37" s="7" t="s">
        <v>31</v>
      </c>
      <c r="R37" s="32">
        <v>40</v>
      </c>
      <c r="S37" s="36">
        <f t="shared" si="3"/>
        <v>34.72222222222222</v>
      </c>
      <c r="T37" s="34">
        <f t="shared" si="5"/>
        <v>475</v>
      </c>
      <c r="U37" s="34">
        <f t="shared" si="4"/>
        <v>87.26383070987654</v>
      </c>
      <c r="V37" s="34"/>
      <c r="W37" s="34">
        <v>20</v>
      </c>
      <c r="X37" s="34"/>
      <c r="Y37" s="34"/>
      <c r="Z37" s="34"/>
      <c r="AA37" s="34"/>
      <c r="AB37" s="34"/>
      <c r="AC37" s="34">
        <v>17.5</v>
      </c>
      <c r="AD37" s="34"/>
      <c r="AE37" s="34"/>
      <c r="AF37" s="34"/>
      <c r="AG37" s="34"/>
      <c r="AH37" s="34"/>
      <c r="AI37" s="34"/>
      <c r="AJ37" s="34"/>
    </row>
    <row r="38" spans="3:36" ht="12" customHeight="1">
      <c r="C38" s="7" t="s">
        <v>256</v>
      </c>
      <c r="D38" s="6">
        <v>100</v>
      </c>
      <c r="E38" s="5" t="s">
        <v>32</v>
      </c>
      <c r="G38" s="7" t="s">
        <v>56</v>
      </c>
      <c r="H38" s="16">
        <f>H37*L44/1000</f>
        <v>2.0047413456790117</v>
      </c>
      <c r="I38" s="7" t="s">
        <v>30</v>
      </c>
      <c r="K38" s="7" t="s">
        <v>60</v>
      </c>
      <c r="L38" s="23">
        <f>L37-H39</f>
        <v>280.4719895061728</v>
      </c>
      <c r="M38" s="7" t="s">
        <v>31</v>
      </c>
      <c r="R38" s="32">
        <v>60</v>
      </c>
      <c r="S38" s="36">
        <f t="shared" si="3"/>
        <v>34.72222222222222</v>
      </c>
      <c r="T38" s="34">
        <f t="shared" si="5"/>
        <v>316.6666666666667</v>
      </c>
      <c r="U38" s="34">
        <f t="shared" si="4"/>
        <v>82.26383070987654</v>
      </c>
      <c r="V38" s="34"/>
      <c r="W38" s="34">
        <v>34</v>
      </c>
      <c r="X38" s="34">
        <v>0</v>
      </c>
      <c r="Y38" s="34"/>
      <c r="Z38" s="34"/>
      <c r="AA38" s="34"/>
      <c r="AB38" s="34"/>
      <c r="AC38" s="34">
        <v>28</v>
      </c>
      <c r="AD38" s="34"/>
      <c r="AE38" s="34"/>
      <c r="AF38" s="34"/>
      <c r="AG38" s="34"/>
      <c r="AH38" s="34"/>
      <c r="AI38" s="34"/>
      <c r="AJ38" s="34"/>
    </row>
    <row r="39" spans="3:36" ht="12" customHeight="1">
      <c r="C39" s="5" t="s">
        <v>33</v>
      </c>
      <c r="D39" s="6">
        <v>0.75</v>
      </c>
      <c r="E39" s="7" t="s">
        <v>34</v>
      </c>
      <c r="G39" s="7" t="s">
        <v>58</v>
      </c>
      <c r="H39" s="12">
        <f>L44*D38/1000</f>
        <v>14.158888888888887</v>
      </c>
      <c r="I39" s="7" t="s">
        <v>8</v>
      </c>
      <c r="K39" s="7" t="s">
        <v>61</v>
      </c>
      <c r="L39" s="8">
        <f>L38+L41</f>
        <v>276.7219895061728</v>
      </c>
      <c r="M39" s="7" t="s">
        <v>8</v>
      </c>
      <c r="R39" s="32">
        <v>80</v>
      </c>
      <c r="S39" s="36">
        <f t="shared" si="3"/>
        <v>34.72222222222222</v>
      </c>
      <c r="T39" s="34">
        <f t="shared" si="5"/>
        <v>237.5</v>
      </c>
      <c r="U39" s="34">
        <f t="shared" si="4"/>
        <v>77.26383070987654</v>
      </c>
      <c r="V39" s="34"/>
      <c r="W39" s="34">
        <v>50</v>
      </c>
      <c r="X39" s="34">
        <v>2</v>
      </c>
      <c r="Y39" s="34"/>
      <c r="Z39" s="34"/>
      <c r="AA39" s="34"/>
      <c r="AB39" s="34"/>
      <c r="AC39" s="34">
        <v>40</v>
      </c>
      <c r="AD39" s="34"/>
      <c r="AE39" s="34"/>
      <c r="AF39" s="34"/>
      <c r="AG39" s="34"/>
      <c r="AH39" s="34"/>
      <c r="AI39" s="34"/>
      <c r="AJ39" s="34"/>
    </row>
    <row r="40" spans="3:36" ht="12" customHeight="1">
      <c r="C40" s="5" t="s">
        <v>242</v>
      </c>
      <c r="D40" s="24">
        <v>5</v>
      </c>
      <c r="E40" s="5" t="s">
        <v>35</v>
      </c>
      <c r="G40" s="7" t="s">
        <v>59</v>
      </c>
      <c r="H40" s="16">
        <f>H39*L44/1000</f>
        <v>2.0047413456790117</v>
      </c>
      <c r="I40" s="7" t="s">
        <v>30</v>
      </c>
      <c r="K40" s="7" t="s">
        <v>63</v>
      </c>
      <c r="L40" s="8">
        <f>L39-H41</f>
        <v>264.0319895061728</v>
      </c>
      <c r="M40" s="7" t="s">
        <v>8</v>
      </c>
      <c r="R40" s="32">
        <v>100</v>
      </c>
      <c r="S40" s="36">
        <f t="shared" si="3"/>
        <v>34.72222222222222</v>
      </c>
      <c r="T40" s="34">
        <f t="shared" si="5"/>
        <v>190</v>
      </c>
      <c r="U40" s="34">
        <f t="shared" si="4"/>
        <v>72.26383070987654</v>
      </c>
      <c r="V40" s="34"/>
      <c r="W40" s="34">
        <v>68</v>
      </c>
      <c r="X40" s="34">
        <v>7</v>
      </c>
      <c r="Y40" s="34"/>
      <c r="Z40" s="34"/>
      <c r="AA40" s="34"/>
      <c r="AB40" s="34"/>
      <c r="AC40" s="34">
        <v>52</v>
      </c>
      <c r="AD40" s="34">
        <v>2.5</v>
      </c>
      <c r="AE40" s="34"/>
      <c r="AF40" s="34"/>
      <c r="AG40" s="34"/>
      <c r="AH40" s="34"/>
      <c r="AI40" s="34"/>
      <c r="AJ40" s="34"/>
    </row>
    <row r="41" spans="3:36" ht="12" customHeight="1">
      <c r="C41" s="7" t="s">
        <v>37</v>
      </c>
      <c r="D41" s="25">
        <v>4.7</v>
      </c>
      <c r="E41" s="7" t="s">
        <v>54</v>
      </c>
      <c r="G41" s="7" t="s">
        <v>62</v>
      </c>
      <c r="H41" s="8">
        <f>(L43+D42)*D41</f>
        <v>12.69</v>
      </c>
      <c r="I41" s="7" t="s">
        <v>8</v>
      </c>
      <c r="K41" s="5" t="s">
        <v>36</v>
      </c>
      <c r="L41" s="16">
        <f>(D40*D39)*-1</f>
        <v>-3.75</v>
      </c>
      <c r="M41" s="7" t="s">
        <v>8</v>
      </c>
      <c r="R41" s="32">
        <v>120</v>
      </c>
      <c r="S41" s="36">
        <f t="shared" si="3"/>
        <v>34.72222222222222</v>
      </c>
      <c r="T41" s="34">
        <f t="shared" si="5"/>
        <v>158.33333333333334</v>
      </c>
      <c r="U41" s="34">
        <f t="shared" si="4"/>
        <v>67.26383070987654</v>
      </c>
      <c r="V41" s="34"/>
      <c r="W41" s="34">
        <v>87</v>
      </c>
      <c r="X41" s="34">
        <v>14</v>
      </c>
      <c r="Y41" s="34"/>
      <c r="Z41" s="34"/>
      <c r="AA41" s="34"/>
      <c r="AB41" s="34"/>
      <c r="AC41" s="34">
        <v>66</v>
      </c>
      <c r="AD41" s="34">
        <v>5.5</v>
      </c>
      <c r="AE41" s="34"/>
      <c r="AF41" s="34"/>
      <c r="AG41" s="34"/>
      <c r="AH41" s="34"/>
      <c r="AI41" s="34"/>
      <c r="AJ41" s="34"/>
    </row>
    <row r="42" spans="3:36" ht="12" customHeight="1">
      <c r="C42" s="7" t="s">
        <v>64</v>
      </c>
      <c r="D42" s="6">
        <v>0.42</v>
      </c>
      <c r="E42" s="7" t="s">
        <v>26</v>
      </c>
      <c r="G42" s="7" t="s">
        <v>65</v>
      </c>
      <c r="H42" s="26">
        <f>L40/D42</f>
        <v>628.6475940623162</v>
      </c>
      <c r="I42" s="7" t="s">
        <v>51</v>
      </c>
      <c r="K42" s="5" t="s">
        <v>42</v>
      </c>
      <c r="L42" s="12">
        <f>H16*2</f>
        <v>138.88888888888889</v>
      </c>
      <c r="M42" s="7" t="s">
        <v>38</v>
      </c>
      <c r="R42" s="32">
        <v>140</v>
      </c>
      <c r="S42" s="36">
        <f t="shared" si="3"/>
        <v>34.72222222222222</v>
      </c>
      <c r="T42" s="34">
        <f t="shared" si="5"/>
        <v>135.71428571428572</v>
      </c>
      <c r="U42" s="34">
        <f t="shared" si="4"/>
        <v>62.26383070987654</v>
      </c>
      <c r="V42" s="34"/>
      <c r="W42" s="34">
        <v>107</v>
      </c>
      <c r="X42" s="34">
        <v>24.7</v>
      </c>
      <c r="Y42" s="34">
        <v>1</v>
      </c>
      <c r="Z42" s="34"/>
      <c r="AA42" s="34"/>
      <c r="AB42" s="34"/>
      <c r="AC42" s="34">
        <v>80.5</v>
      </c>
      <c r="AD42" s="34">
        <v>10</v>
      </c>
      <c r="AE42" s="34"/>
      <c r="AF42" s="34"/>
      <c r="AG42" s="34"/>
      <c r="AH42" s="34"/>
      <c r="AI42" s="34"/>
      <c r="AJ42" s="34"/>
    </row>
    <row r="43" spans="7:36" ht="12" customHeight="1">
      <c r="G43" s="7" t="s">
        <v>66</v>
      </c>
      <c r="H43" s="27">
        <f>L40*D42/1000</f>
        <v>0.11089343559259258</v>
      </c>
      <c r="I43" s="7" t="s">
        <v>25</v>
      </c>
      <c r="K43" s="5" t="s">
        <v>39</v>
      </c>
      <c r="L43" s="13">
        <f>D7*2</f>
        <v>2.28</v>
      </c>
      <c r="M43" s="7" t="s">
        <v>38</v>
      </c>
      <c r="R43" s="32">
        <v>160</v>
      </c>
      <c r="S43" s="36">
        <f t="shared" si="3"/>
        <v>34.72222222222222</v>
      </c>
      <c r="T43" s="34">
        <f t="shared" si="5"/>
        <v>118.75</v>
      </c>
      <c r="U43" s="34">
        <f t="shared" si="4"/>
        <v>57.26383070987654</v>
      </c>
      <c r="V43" s="34"/>
      <c r="W43" s="34"/>
      <c r="X43" s="34">
        <v>37</v>
      </c>
      <c r="Y43" s="34">
        <v>3.2</v>
      </c>
      <c r="Z43" s="34"/>
      <c r="AA43" s="34"/>
      <c r="AB43" s="34"/>
      <c r="AC43" s="34">
        <v>95</v>
      </c>
      <c r="AD43" s="34">
        <v>17</v>
      </c>
      <c r="AE43" s="34"/>
      <c r="AF43" s="34"/>
      <c r="AG43" s="34"/>
      <c r="AH43" s="34"/>
      <c r="AI43" s="34"/>
      <c r="AJ43" s="34"/>
    </row>
    <row r="44" spans="2:36" ht="12" customHeight="1">
      <c r="B44" s="18" t="s">
        <v>116</v>
      </c>
      <c r="C44" s="7" t="s">
        <v>105</v>
      </c>
      <c r="D44" s="6">
        <v>100</v>
      </c>
      <c r="E44" s="5" t="s">
        <v>106</v>
      </c>
      <c r="K44" s="5" t="s">
        <v>40</v>
      </c>
      <c r="L44" s="8">
        <f>L42+L43+D42</f>
        <v>141.58888888888887</v>
      </c>
      <c r="M44" s="7" t="s">
        <v>41</v>
      </c>
      <c r="R44" s="32">
        <v>180</v>
      </c>
      <c r="S44" s="36">
        <f t="shared" si="3"/>
        <v>34.72222222222222</v>
      </c>
      <c r="T44" s="34">
        <f t="shared" si="5"/>
        <v>105.55555555555556</v>
      </c>
      <c r="U44" s="34">
        <f t="shared" si="4"/>
        <v>52.26383070987654</v>
      </c>
      <c r="V44" s="34"/>
      <c r="W44" s="34"/>
      <c r="X44" s="34">
        <v>54</v>
      </c>
      <c r="Y44" s="34">
        <v>6.8</v>
      </c>
      <c r="Z44" s="34"/>
      <c r="AA44" s="34"/>
      <c r="AB44" s="34"/>
      <c r="AC44" s="34"/>
      <c r="AD44" s="34">
        <v>25.5</v>
      </c>
      <c r="AE44" s="34"/>
      <c r="AF44" s="34"/>
      <c r="AG44" s="34"/>
      <c r="AH44" s="34"/>
      <c r="AI44" s="34"/>
      <c r="AJ44" s="34"/>
    </row>
    <row r="45" spans="18:36" ht="12" customHeight="1">
      <c r="R45" s="32">
        <v>200</v>
      </c>
      <c r="S45" s="36">
        <f t="shared" si="3"/>
        <v>34.72222222222222</v>
      </c>
      <c r="T45" s="34">
        <f t="shared" si="5"/>
        <v>95</v>
      </c>
      <c r="U45" s="34">
        <f t="shared" si="4"/>
        <v>47.26383070987654</v>
      </c>
      <c r="V45" s="34"/>
      <c r="W45" s="34"/>
      <c r="X45" s="34">
        <v>71</v>
      </c>
      <c r="Y45" s="34">
        <v>13.2</v>
      </c>
      <c r="Z45" s="34">
        <v>0.8</v>
      </c>
      <c r="AA45" s="34"/>
      <c r="AB45" s="34"/>
      <c r="AC45" s="34"/>
      <c r="AD45" s="34">
        <v>37</v>
      </c>
      <c r="AE45" s="34">
        <v>1</v>
      </c>
      <c r="AF45" s="34"/>
      <c r="AG45" s="34"/>
      <c r="AH45" s="34"/>
      <c r="AI45" s="34"/>
      <c r="AJ45" s="34"/>
    </row>
    <row r="46" spans="18:36" ht="12" customHeight="1">
      <c r="R46" s="32">
        <v>220</v>
      </c>
      <c r="S46" s="36">
        <f t="shared" si="3"/>
        <v>34.72222222222222</v>
      </c>
      <c r="T46" s="34">
        <f t="shared" si="5"/>
        <v>86.36363636363636</v>
      </c>
      <c r="U46" s="34">
        <f t="shared" si="4"/>
        <v>42.26383070987654</v>
      </c>
      <c r="V46" s="34"/>
      <c r="W46" s="34"/>
      <c r="X46" s="34"/>
      <c r="Y46" s="34">
        <v>22</v>
      </c>
      <c r="Z46" s="34">
        <v>2.8</v>
      </c>
      <c r="AA46" s="34"/>
      <c r="AB46" s="34"/>
      <c r="AC46" s="34"/>
      <c r="AD46" s="34">
        <v>49</v>
      </c>
      <c r="AE46" s="34">
        <v>5</v>
      </c>
      <c r="AF46" s="34"/>
      <c r="AG46" s="34"/>
      <c r="AH46" s="34"/>
      <c r="AI46" s="34"/>
      <c r="AJ46" s="34"/>
    </row>
    <row r="47" spans="18:36" ht="12" customHeight="1">
      <c r="R47" s="32">
        <v>240</v>
      </c>
      <c r="S47" s="36">
        <f t="shared" si="3"/>
        <v>34.72222222222222</v>
      </c>
      <c r="T47" s="34">
        <f t="shared" si="5"/>
        <v>79.16666666666667</v>
      </c>
      <c r="U47" s="34">
        <f t="shared" si="4"/>
        <v>37.26383070987654</v>
      </c>
      <c r="V47" s="34"/>
      <c r="W47" s="34"/>
      <c r="X47" s="34"/>
      <c r="Y47" s="34">
        <v>32.3</v>
      </c>
      <c r="Z47" s="34">
        <v>6.2</v>
      </c>
      <c r="AA47" s="34"/>
      <c r="AB47" s="34"/>
      <c r="AC47" s="34"/>
      <c r="AD47" s="34">
        <v>62</v>
      </c>
      <c r="AE47" s="34">
        <v>9</v>
      </c>
      <c r="AF47" s="34"/>
      <c r="AG47" s="34"/>
      <c r="AH47" s="34"/>
      <c r="AI47" s="34"/>
      <c r="AJ47" s="34"/>
    </row>
    <row r="48" spans="18:36" ht="12" customHeight="1">
      <c r="R48" s="32">
        <v>260</v>
      </c>
      <c r="S48" s="36">
        <f t="shared" si="3"/>
        <v>34.72222222222222</v>
      </c>
      <c r="T48" s="34">
        <f t="shared" si="5"/>
        <v>73.07692307692308</v>
      </c>
      <c r="U48" s="34">
        <f t="shared" si="4"/>
        <v>32.26383070987654</v>
      </c>
      <c r="V48" s="34"/>
      <c r="W48" s="34"/>
      <c r="X48" s="34"/>
      <c r="Y48" s="34">
        <v>44</v>
      </c>
      <c r="Z48" s="34">
        <v>10.7</v>
      </c>
      <c r="AA48" s="34">
        <v>0.8</v>
      </c>
      <c r="AB48" s="34"/>
      <c r="AC48" s="34"/>
      <c r="AD48" s="34">
        <v>77</v>
      </c>
      <c r="AE48" s="34">
        <v>15</v>
      </c>
      <c r="AF48" s="34"/>
      <c r="AG48" s="34"/>
      <c r="AH48" s="34"/>
      <c r="AI48" s="34"/>
      <c r="AJ48" s="34"/>
    </row>
    <row r="49" spans="18:36" ht="12" customHeight="1">
      <c r="R49" s="32">
        <v>280</v>
      </c>
      <c r="S49" s="36">
        <f t="shared" si="3"/>
        <v>34.72222222222222</v>
      </c>
      <c r="T49" s="34">
        <f t="shared" si="5"/>
        <v>67.85714285714286</v>
      </c>
      <c r="U49" s="34">
        <f t="shared" si="4"/>
        <v>27.263830709876537</v>
      </c>
      <c r="V49" s="34"/>
      <c r="W49" s="34"/>
      <c r="X49" s="34"/>
      <c r="Y49" s="34">
        <v>55.5</v>
      </c>
      <c r="Z49" s="34">
        <v>16</v>
      </c>
      <c r="AA49" s="34">
        <v>2.4</v>
      </c>
      <c r="AB49" s="34"/>
      <c r="AC49" s="34"/>
      <c r="AD49" s="34"/>
      <c r="AE49" s="34">
        <v>22.5</v>
      </c>
      <c r="AF49" s="34"/>
      <c r="AG49" s="34"/>
      <c r="AH49" s="34"/>
      <c r="AI49" s="34"/>
      <c r="AJ49" s="34"/>
    </row>
    <row r="50" spans="18:36" ht="12" customHeight="1">
      <c r="R50" s="32">
        <v>300</v>
      </c>
      <c r="S50" s="36">
        <f t="shared" si="3"/>
        <v>34.72222222222222</v>
      </c>
      <c r="T50" s="34">
        <f t="shared" si="5"/>
        <v>63.333333333333336</v>
      </c>
      <c r="U50" s="34">
        <f t="shared" si="4"/>
        <v>22.263830709876537</v>
      </c>
      <c r="V50" s="34"/>
      <c r="W50" s="34"/>
      <c r="X50" s="34"/>
      <c r="Y50" s="34"/>
      <c r="Z50" s="34">
        <v>22</v>
      </c>
      <c r="AA50" s="34">
        <v>4.9</v>
      </c>
      <c r="AB50" s="34"/>
      <c r="AC50" s="34"/>
      <c r="AD50" s="34"/>
      <c r="AE50" s="34">
        <v>30</v>
      </c>
      <c r="AF50" s="34">
        <v>2</v>
      </c>
      <c r="AG50" s="34"/>
      <c r="AH50" s="34"/>
      <c r="AI50" s="34"/>
      <c r="AJ50" s="34"/>
    </row>
    <row r="51" spans="18:36" ht="12" customHeight="1">
      <c r="R51" s="32">
        <v>320</v>
      </c>
      <c r="S51" s="36">
        <f t="shared" si="3"/>
        <v>34.72222222222222</v>
      </c>
      <c r="T51" s="34">
        <f t="shared" si="5"/>
        <v>59.375</v>
      </c>
      <c r="U51" s="34">
        <f t="shared" si="4"/>
        <v>17.263830709876537</v>
      </c>
      <c r="V51" s="34"/>
      <c r="W51" s="34"/>
      <c r="X51" s="34"/>
      <c r="Y51" s="34"/>
      <c r="Z51" s="34">
        <v>29.5</v>
      </c>
      <c r="AA51" s="34">
        <v>8.4</v>
      </c>
      <c r="AB51" s="34">
        <v>0.7</v>
      </c>
      <c r="AC51" s="34"/>
      <c r="AD51" s="34"/>
      <c r="AE51" s="34">
        <v>40</v>
      </c>
      <c r="AF51" s="34">
        <v>6</v>
      </c>
      <c r="AG51" s="34"/>
      <c r="AH51" s="34"/>
      <c r="AI51" s="34"/>
      <c r="AJ51" s="34"/>
    </row>
    <row r="52" spans="18:36" ht="12" customHeight="1">
      <c r="R52" s="32">
        <v>340</v>
      </c>
      <c r="S52" s="36">
        <f t="shared" si="3"/>
        <v>34.72222222222222</v>
      </c>
      <c r="T52" s="34">
        <f t="shared" si="5"/>
        <v>55.88235294117647</v>
      </c>
      <c r="U52" s="34">
        <f t="shared" si="4"/>
        <v>12.263830709876537</v>
      </c>
      <c r="V52" s="34"/>
      <c r="W52" s="34"/>
      <c r="X52" s="34"/>
      <c r="Y52" s="34"/>
      <c r="Z52" s="34">
        <v>37.5</v>
      </c>
      <c r="AA52" s="34">
        <v>13.5</v>
      </c>
      <c r="AB52" s="34">
        <v>2.1</v>
      </c>
      <c r="AC52" s="34"/>
      <c r="AD52" s="34"/>
      <c r="AE52" s="34">
        <v>51</v>
      </c>
      <c r="AF52" s="34">
        <v>11</v>
      </c>
      <c r="AG52" s="34"/>
      <c r="AH52" s="34"/>
      <c r="AI52" s="34"/>
      <c r="AJ52" s="34"/>
    </row>
    <row r="53" spans="18:36" ht="12" customHeight="1">
      <c r="R53" s="32">
        <v>360</v>
      </c>
      <c r="S53" s="36">
        <f t="shared" si="3"/>
        <v>34.72222222222222</v>
      </c>
      <c r="T53" s="34">
        <f t="shared" si="5"/>
        <v>52.77777777777778</v>
      </c>
      <c r="U53" s="34">
        <f t="shared" si="4"/>
        <v>7.263830709876537</v>
      </c>
      <c r="V53" s="34"/>
      <c r="W53" s="34"/>
      <c r="X53" s="34"/>
      <c r="Y53" s="34"/>
      <c r="Z53" s="34"/>
      <c r="AA53" s="34">
        <v>18.7</v>
      </c>
      <c r="AB53" s="34">
        <v>4.2</v>
      </c>
      <c r="AC53" s="34"/>
      <c r="AD53" s="34"/>
      <c r="AE53" s="34"/>
      <c r="AF53" s="34">
        <v>17</v>
      </c>
      <c r="AG53" s="34"/>
      <c r="AH53" s="34"/>
      <c r="AI53" s="34"/>
      <c r="AJ53" s="34"/>
    </row>
    <row r="54" spans="18:36" ht="12" customHeight="1">
      <c r="R54" s="32">
        <v>380</v>
      </c>
      <c r="S54" s="36">
        <f t="shared" si="3"/>
        <v>34.72222222222222</v>
      </c>
      <c r="T54" s="34">
        <f t="shared" si="5"/>
        <v>50</v>
      </c>
      <c r="U54" s="34">
        <f t="shared" si="4"/>
        <v>2.2638307098765367</v>
      </c>
      <c r="V54" s="34"/>
      <c r="W54" s="34"/>
      <c r="X54" s="34"/>
      <c r="Y54" s="34"/>
      <c r="Z54" s="34"/>
      <c r="AA54" s="34">
        <v>24.4</v>
      </c>
      <c r="AB54" s="34">
        <v>6.8</v>
      </c>
      <c r="AC54" s="34"/>
      <c r="AD54" s="34"/>
      <c r="AE54" s="34"/>
      <c r="AF54" s="34">
        <v>22.5</v>
      </c>
      <c r="AG54" s="34"/>
      <c r="AH54" s="34"/>
      <c r="AI54" s="34"/>
      <c r="AJ54" s="34"/>
    </row>
    <row r="55" spans="18:36" ht="12" customHeight="1">
      <c r="R55" s="32">
        <v>400</v>
      </c>
      <c r="S55" s="36">
        <f t="shared" si="3"/>
        <v>34.72222222222222</v>
      </c>
      <c r="T55" s="34">
        <f t="shared" si="5"/>
        <v>47.5</v>
      </c>
      <c r="U55" s="34">
        <f t="shared" si="4"/>
        <v>-2.7361692901234633</v>
      </c>
      <c r="V55" s="34"/>
      <c r="W55" s="34"/>
      <c r="X55" s="34"/>
      <c r="Y55" s="34"/>
      <c r="Z55" s="34"/>
      <c r="AA55" s="34"/>
      <c r="AB55" s="34">
        <v>10.1</v>
      </c>
      <c r="AC55" s="34"/>
      <c r="AD55" s="34"/>
      <c r="AE55" s="34"/>
      <c r="AF55" s="34">
        <v>29</v>
      </c>
      <c r="AG55" s="34">
        <v>2</v>
      </c>
      <c r="AH55" s="34"/>
      <c r="AI55" s="34"/>
      <c r="AJ55" s="34"/>
    </row>
    <row r="56" spans="18:36" ht="12" customHeight="1">
      <c r="R56" s="32">
        <v>420</v>
      </c>
      <c r="S56" s="36"/>
      <c r="T56" s="34">
        <f t="shared" si="5"/>
        <v>45.23809523809524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5</v>
      </c>
      <c r="AH56" s="34"/>
      <c r="AI56" s="34"/>
      <c r="AJ56" s="34"/>
    </row>
    <row r="57" spans="18:36" ht="12" customHeight="1">
      <c r="R57" s="32">
        <v>440</v>
      </c>
      <c r="S57" s="36"/>
      <c r="T57" s="34">
        <f t="shared" si="5"/>
        <v>43.18181818181818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>
        <v>8.5</v>
      </c>
      <c r="AH57" s="34"/>
      <c r="AI57" s="34"/>
      <c r="AJ57" s="34"/>
    </row>
    <row r="58" spans="18:36" ht="12" customHeight="1"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8:36" ht="12" customHeight="1">
      <c r="R59" s="51">
        <f>L17</f>
        <v>250.16643395061726</v>
      </c>
      <c r="S59" s="34"/>
      <c r="T59" s="34"/>
      <c r="U59" s="34"/>
      <c r="V59" s="36">
        <f>H17</f>
        <v>34.72222222222222</v>
      </c>
      <c r="W59" s="34"/>
      <c r="X59" s="34"/>
      <c r="Y59" s="34"/>
      <c r="Z59" s="34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0:21" ht="12" customHeight="1">
      <c r="T60" s="34"/>
      <c r="U60" s="36">
        <f>D23/2</f>
        <v>4</v>
      </c>
    </row>
    <row r="61" spans="20:26" ht="12" customHeight="1">
      <c r="T61" s="37"/>
      <c r="U61" s="36">
        <f>R59</f>
        <v>250.16643395061726</v>
      </c>
      <c r="V61" s="30"/>
      <c r="W61" s="30"/>
      <c r="X61" s="30"/>
      <c r="Y61" s="30"/>
      <c r="Z61" s="30"/>
    </row>
    <row r="63" ht="12" customHeight="1">
      <c r="S63" s="31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4" r:id="rId2"/>
  <colBreaks count="2" manualBreakCount="2">
    <brk id="14" max="65535" man="1"/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3"/>
  <sheetViews>
    <sheetView tabSelected="1" zoomScale="75" zoomScaleNormal="75" workbookViewId="0" topLeftCell="A1">
      <selection activeCell="H36" sqref="H36"/>
    </sheetView>
  </sheetViews>
  <sheetFormatPr defaultColWidth="9.00390625" defaultRowHeight="12" customHeight="1"/>
  <cols>
    <col min="1" max="1" width="0.74609375" style="1" customWidth="1"/>
    <col min="2" max="2" width="9.125" style="1" customWidth="1"/>
    <col min="3" max="3" width="26.625" style="1" customWidth="1"/>
    <col min="4" max="4" width="6.625" style="1" customWidth="1"/>
    <col min="5" max="5" width="4.25390625" style="1" customWidth="1"/>
    <col min="6" max="6" width="1.25" style="1" customWidth="1"/>
    <col min="7" max="7" width="21.625" style="1" customWidth="1"/>
    <col min="8" max="8" width="6.625" style="1" customWidth="1"/>
    <col min="9" max="9" width="4.25390625" style="1" customWidth="1"/>
    <col min="10" max="10" width="1.25" style="1" customWidth="1"/>
    <col min="11" max="11" width="21.625" style="1" customWidth="1"/>
    <col min="12" max="12" width="6.625" style="1" customWidth="1"/>
    <col min="13" max="13" width="4.25390625" style="1" customWidth="1"/>
    <col min="14" max="14" width="1.25" style="1" customWidth="1"/>
    <col min="15" max="16" width="5.125" style="1" customWidth="1"/>
    <col min="17" max="17" width="1.625" style="1" customWidth="1"/>
    <col min="18" max="18" width="4.375" style="30" customWidth="1"/>
    <col min="19" max="19" width="4.625" style="30" customWidth="1"/>
    <col min="20" max="21" width="5.625" style="30" customWidth="1"/>
    <col min="22" max="22" width="4.875" style="1" customWidth="1"/>
    <col min="23" max="36" width="4.125" style="1" customWidth="1"/>
    <col min="37" max="38" width="1.625" style="1" customWidth="1"/>
    <col min="39" max="44" width="6.625" style="1" customWidth="1"/>
    <col min="45" max="16384" width="17.125" style="1" customWidth="1"/>
  </cols>
  <sheetData>
    <row r="1" spans="2:13" ht="16.5" customHeight="1">
      <c r="B1" s="54" t="s">
        <v>241</v>
      </c>
      <c r="M1" s="48" t="s">
        <v>136</v>
      </c>
    </row>
    <row r="2" ht="7.5" customHeight="1"/>
    <row r="3" spans="4:36" ht="12" customHeight="1">
      <c r="D3" s="2" t="s">
        <v>238</v>
      </c>
      <c r="H3" s="3" t="s">
        <v>237</v>
      </c>
      <c r="L3" s="3" t="s">
        <v>237</v>
      </c>
      <c r="W3" s="42" t="s">
        <v>137</v>
      </c>
      <c r="X3" s="43"/>
      <c r="Y3" s="43"/>
      <c r="Z3" s="43"/>
      <c r="AA3" s="43"/>
      <c r="AB3" s="43"/>
      <c r="AC3" s="44"/>
      <c r="AD3" s="38" t="s">
        <v>138</v>
      </c>
      <c r="AE3" s="39"/>
      <c r="AF3" s="39"/>
      <c r="AG3" s="39"/>
      <c r="AH3" s="39"/>
      <c r="AI3" s="39"/>
      <c r="AJ3" s="40"/>
    </row>
    <row r="4" spans="18:36" ht="12" customHeight="1">
      <c r="R4" s="34"/>
      <c r="S4" s="18" t="s">
        <v>139</v>
      </c>
      <c r="T4" s="18" t="s">
        <v>140</v>
      </c>
      <c r="U4" s="18" t="s">
        <v>141</v>
      </c>
      <c r="V4" s="18" t="s">
        <v>142</v>
      </c>
      <c r="W4" s="45" t="s">
        <v>143</v>
      </c>
      <c r="X4" s="45" t="s">
        <v>144</v>
      </c>
      <c r="Y4" s="45" t="s">
        <v>145</v>
      </c>
      <c r="Z4" s="45" t="s">
        <v>146</v>
      </c>
      <c r="AA4" s="45" t="s">
        <v>147</v>
      </c>
      <c r="AB4" s="45" t="s">
        <v>148</v>
      </c>
      <c r="AC4" s="45" t="s">
        <v>149</v>
      </c>
      <c r="AD4" s="41" t="s">
        <v>143</v>
      </c>
      <c r="AE4" s="41" t="s">
        <v>144</v>
      </c>
      <c r="AF4" s="41" t="s">
        <v>145</v>
      </c>
      <c r="AG4" s="41" t="s">
        <v>146</v>
      </c>
      <c r="AH4" s="41" t="s">
        <v>147</v>
      </c>
      <c r="AI4" s="41" t="s">
        <v>148</v>
      </c>
      <c r="AJ4" s="41" t="s">
        <v>149</v>
      </c>
    </row>
    <row r="5" spans="2:36" ht="12" customHeight="1">
      <c r="B5" s="4" t="s">
        <v>150</v>
      </c>
      <c r="C5" s="5" t="s">
        <v>151</v>
      </c>
      <c r="D5" s="6">
        <v>63</v>
      </c>
      <c r="E5" s="5" t="s">
        <v>7</v>
      </c>
      <c r="G5" s="7" t="s">
        <v>152</v>
      </c>
      <c r="H5" s="8">
        <f>L43</f>
        <v>264.57028753387533</v>
      </c>
      <c r="I5" s="7" t="s">
        <v>12</v>
      </c>
      <c r="R5" s="32">
        <v>0</v>
      </c>
      <c r="S5" s="34">
        <f aca="true" t="shared" si="0" ref="S5:S28">$H$7</f>
        <v>0.57</v>
      </c>
      <c r="T5" s="34">
        <f aca="true" t="shared" si="1" ref="T5:T28">(T$31-R5)/T$30+S5</f>
        <v>1.102376198057814</v>
      </c>
      <c r="U5" s="34">
        <f aca="true" t="shared" si="2" ref="U5:U28">(U$31-R5)/U$30+S5</f>
        <v>1.374227873661804</v>
      </c>
      <c r="V5" s="34"/>
      <c r="W5" s="34">
        <v>0</v>
      </c>
      <c r="X5" s="34"/>
      <c r="Y5" s="34"/>
      <c r="Z5" s="34"/>
      <c r="AA5" s="34"/>
      <c r="AB5" s="34"/>
      <c r="AC5" s="34"/>
      <c r="AD5" s="34">
        <v>0</v>
      </c>
      <c r="AE5" s="34">
        <v>0</v>
      </c>
      <c r="AF5" s="34"/>
      <c r="AG5" s="34"/>
      <c r="AH5" s="34"/>
      <c r="AI5" s="34"/>
      <c r="AJ5" s="34"/>
    </row>
    <row r="6" spans="3:36" ht="12" customHeight="1">
      <c r="C6" s="5" t="s">
        <v>45</v>
      </c>
      <c r="D6" s="6">
        <v>80</v>
      </c>
      <c r="E6" s="7" t="s">
        <v>153</v>
      </c>
      <c r="G6" s="9" t="s">
        <v>154</v>
      </c>
      <c r="H6" s="10">
        <f>H7*D8</f>
        <v>136.79999999999998</v>
      </c>
      <c r="I6" s="11" t="s">
        <v>8</v>
      </c>
      <c r="K6" s="5" t="s">
        <v>11</v>
      </c>
      <c r="L6" s="12">
        <f>H5-H6</f>
        <v>127.77028753387535</v>
      </c>
      <c r="M6" s="7" t="s">
        <v>123</v>
      </c>
      <c r="R6" s="32">
        <v>10</v>
      </c>
      <c r="S6" s="34">
        <f t="shared" si="0"/>
        <v>0.57</v>
      </c>
      <c r="T6" s="34">
        <f t="shared" si="1"/>
        <v>1.0607095313911472</v>
      </c>
      <c r="U6" s="34">
        <f t="shared" si="2"/>
        <v>1.3112846112504566</v>
      </c>
      <c r="V6" s="34"/>
      <c r="W6" s="34">
        <v>0.134</v>
      </c>
      <c r="X6" s="34">
        <v>0.004</v>
      </c>
      <c r="Y6" s="34"/>
      <c r="Z6" s="34"/>
      <c r="AA6" s="34"/>
      <c r="AB6" s="34"/>
      <c r="AC6" s="34"/>
      <c r="AD6" s="34">
        <v>0.262</v>
      </c>
      <c r="AE6" s="34">
        <v>0.067</v>
      </c>
      <c r="AF6" s="34">
        <v>0.004</v>
      </c>
      <c r="AG6" s="34"/>
      <c r="AH6" s="34"/>
      <c r="AI6" s="34"/>
      <c r="AJ6" s="34"/>
    </row>
    <row r="7" spans="3:36" ht="12" customHeight="1">
      <c r="C7" s="5" t="s">
        <v>251</v>
      </c>
      <c r="D7" s="6">
        <v>1.14</v>
      </c>
      <c r="E7" s="7" t="s">
        <v>132</v>
      </c>
      <c r="G7" s="7" t="s">
        <v>155</v>
      </c>
      <c r="H7" s="13">
        <f>D7/2</f>
        <v>0.57</v>
      </c>
      <c r="I7" s="7" t="s">
        <v>132</v>
      </c>
      <c r="R7" s="32">
        <v>20</v>
      </c>
      <c r="S7" s="34">
        <f t="shared" si="0"/>
        <v>0.57</v>
      </c>
      <c r="T7" s="34">
        <f t="shared" si="1"/>
        <v>1.0190428647244807</v>
      </c>
      <c r="U7" s="34">
        <f t="shared" si="2"/>
        <v>1.248341348839109</v>
      </c>
      <c r="V7" s="34"/>
      <c r="W7" s="34">
        <v>0.254</v>
      </c>
      <c r="X7" s="34">
        <v>0.015</v>
      </c>
      <c r="Y7" s="34"/>
      <c r="Z7" s="34"/>
      <c r="AA7" s="34"/>
      <c r="AB7" s="34"/>
      <c r="AC7" s="34"/>
      <c r="AD7" s="34">
        <v>0.375</v>
      </c>
      <c r="AE7" s="34">
        <v>0.121</v>
      </c>
      <c r="AF7" s="34">
        <v>0.012</v>
      </c>
      <c r="AG7" s="34"/>
      <c r="AH7" s="34"/>
      <c r="AI7" s="34"/>
      <c r="AJ7" s="34"/>
    </row>
    <row r="8" spans="3:36" ht="12" customHeight="1">
      <c r="C8" s="5" t="s">
        <v>16</v>
      </c>
      <c r="D8" s="6">
        <v>240</v>
      </c>
      <c r="E8" s="7" t="s">
        <v>156</v>
      </c>
      <c r="G8" s="5" t="s">
        <v>157</v>
      </c>
      <c r="H8" s="12">
        <f>(D8*D15)/(D8+D15)</f>
        <v>158.8732394366197</v>
      </c>
      <c r="I8" s="7" t="s">
        <v>158</v>
      </c>
      <c r="K8" s="5" t="s">
        <v>159</v>
      </c>
      <c r="L8" s="12">
        <f>D5*(H8/(H8+D6))</f>
        <v>41.90094339622642</v>
      </c>
      <c r="M8" s="5" t="s">
        <v>160</v>
      </c>
      <c r="R8" s="32">
        <v>30</v>
      </c>
      <c r="S8" s="34">
        <f t="shared" si="0"/>
        <v>0.57</v>
      </c>
      <c r="T8" s="34">
        <f t="shared" si="1"/>
        <v>0.977376198057814</v>
      </c>
      <c r="U8" s="34">
        <f t="shared" si="2"/>
        <v>1.1853980864277616</v>
      </c>
      <c r="V8" s="34"/>
      <c r="W8" s="34">
        <v>0.402</v>
      </c>
      <c r="X8" s="34">
        <v>0.045</v>
      </c>
      <c r="Y8" s="34"/>
      <c r="Z8" s="34"/>
      <c r="AA8" s="34"/>
      <c r="AB8" s="34"/>
      <c r="AC8" s="34"/>
      <c r="AD8" s="34">
        <v>0.498</v>
      </c>
      <c r="AE8" s="34">
        <v>0.189</v>
      </c>
      <c r="AF8" s="34">
        <v>0.031</v>
      </c>
      <c r="AG8" s="34"/>
      <c r="AH8" s="34"/>
      <c r="AI8" s="34"/>
      <c r="AJ8" s="34"/>
    </row>
    <row r="9" spans="2:36" ht="12" customHeight="1">
      <c r="B9" s="46" t="s">
        <v>229</v>
      </c>
      <c r="C9" s="52" t="s">
        <v>230</v>
      </c>
      <c r="D9" s="1">
        <v>66</v>
      </c>
      <c r="E9" s="46" t="s">
        <v>1</v>
      </c>
      <c r="G9" s="53" t="s">
        <v>233</v>
      </c>
      <c r="H9" s="1">
        <v>70</v>
      </c>
      <c r="I9" s="1" t="s">
        <v>232</v>
      </c>
      <c r="R9" s="32">
        <v>40</v>
      </c>
      <c r="S9" s="34">
        <f t="shared" si="0"/>
        <v>0.57</v>
      </c>
      <c r="T9" s="34">
        <f t="shared" si="1"/>
        <v>0.9357095313911472</v>
      </c>
      <c r="U9" s="34">
        <f t="shared" si="2"/>
        <v>1.122454824016414</v>
      </c>
      <c r="V9" s="34"/>
      <c r="W9" s="34">
        <v>0.571</v>
      </c>
      <c r="X9" s="34">
        <v>0.103</v>
      </c>
      <c r="Y9" s="34">
        <v>0.005</v>
      </c>
      <c r="Z9" s="34"/>
      <c r="AA9" s="34"/>
      <c r="AB9" s="34"/>
      <c r="AC9" s="34"/>
      <c r="AD9" s="34">
        <v>0.623</v>
      </c>
      <c r="AE9" s="34">
        <v>0.271</v>
      </c>
      <c r="AF9" s="34">
        <v>0.063</v>
      </c>
      <c r="AG9" s="34">
        <v>0.004</v>
      </c>
      <c r="AH9" s="34"/>
      <c r="AI9" s="34"/>
      <c r="AJ9" s="34"/>
    </row>
    <row r="10" spans="3:36" ht="12" customHeight="1">
      <c r="C10" s="52" t="s">
        <v>231</v>
      </c>
      <c r="D10" s="1">
        <v>63</v>
      </c>
      <c r="E10" s="46" t="s">
        <v>1</v>
      </c>
      <c r="G10" s="53" t="s">
        <v>249</v>
      </c>
      <c r="H10" s="1">
        <v>80</v>
      </c>
      <c r="I10" s="1" t="s">
        <v>232</v>
      </c>
      <c r="R10" s="32">
        <v>50</v>
      </c>
      <c r="S10" s="34">
        <f t="shared" si="0"/>
        <v>0.57</v>
      </c>
      <c r="T10" s="34">
        <f t="shared" si="1"/>
        <v>0.8940428647244806</v>
      </c>
      <c r="U10" s="34">
        <f t="shared" si="2"/>
        <v>1.0595115616050665</v>
      </c>
      <c r="V10" s="34"/>
      <c r="W10" s="34">
        <v>0.755</v>
      </c>
      <c r="X10" s="34">
        <v>0.196</v>
      </c>
      <c r="Y10" s="34">
        <v>0.014</v>
      </c>
      <c r="Z10" s="34"/>
      <c r="AA10" s="34"/>
      <c r="AB10" s="34"/>
      <c r="AC10" s="34"/>
      <c r="AD10" s="34">
        <v>0.76</v>
      </c>
      <c r="AE10" s="34">
        <v>0.365</v>
      </c>
      <c r="AF10" s="34">
        <v>0.108</v>
      </c>
      <c r="AG10" s="34">
        <v>0.012</v>
      </c>
      <c r="AH10" s="34"/>
      <c r="AI10" s="34"/>
      <c r="AJ10" s="34"/>
    </row>
    <row r="11" spans="2:36" ht="12" customHeight="1">
      <c r="B11" s="46"/>
      <c r="C11" s="52" t="s">
        <v>260</v>
      </c>
      <c r="D11" s="1">
        <v>100</v>
      </c>
      <c r="E11" s="46" t="s">
        <v>1</v>
      </c>
      <c r="G11" s="53" t="s">
        <v>261</v>
      </c>
      <c r="H11" s="1">
        <v>80</v>
      </c>
      <c r="I11" s="1" t="s">
        <v>232</v>
      </c>
      <c r="R11" s="32">
        <v>60</v>
      </c>
      <c r="S11" s="34">
        <f t="shared" si="0"/>
        <v>0.57</v>
      </c>
      <c r="T11" s="34">
        <f t="shared" si="1"/>
        <v>0.852376198057814</v>
      </c>
      <c r="U11" s="34">
        <f t="shared" si="2"/>
        <v>0.9965682991937189</v>
      </c>
      <c r="V11" s="34"/>
      <c r="W11" s="34">
        <v>0.952</v>
      </c>
      <c r="X11" s="34">
        <v>0.324</v>
      </c>
      <c r="Y11" s="34">
        <v>0.04</v>
      </c>
      <c r="Z11" s="34"/>
      <c r="AA11" s="34"/>
      <c r="AB11" s="34"/>
      <c r="AC11" s="34"/>
      <c r="AD11" s="34">
        <v>0.905</v>
      </c>
      <c r="AE11" s="34">
        <v>0.476</v>
      </c>
      <c r="AF11" s="34">
        <v>0.169</v>
      </c>
      <c r="AG11" s="34">
        <v>0.027</v>
      </c>
      <c r="AH11" s="34"/>
      <c r="AI11" s="34"/>
      <c r="AJ11" s="34"/>
    </row>
    <row r="12" spans="18:36" ht="12" customHeight="1">
      <c r="R12" s="32">
        <v>70</v>
      </c>
      <c r="S12" s="34">
        <f t="shared" si="0"/>
        <v>0.57</v>
      </c>
      <c r="T12" s="34">
        <f t="shared" si="1"/>
        <v>0.8107095313911472</v>
      </c>
      <c r="U12" s="34">
        <f t="shared" si="2"/>
        <v>0.9336250367823714</v>
      </c>
      <c r="V12" s="34"/>
      <c r="W12" s="34">
        <v>1.163</v>
      </c>
      <c r="X12" s="34">
        <v>0.475</v>
      </c>
      <c r="Y12" s="34">
        <v>0.085</v>
      </c>
      <c r="Z12" s="34">
        <v>0.005</v>
      </c>
      <c r="AA12" s="34"/>
      <c r="AB12" s="34"/>
      <c r="AC12" s="34"/>
      <c r="AD12" s="34">
        <v>1.056</v>
      </c>
      <c r="AE12" s="34">
        <v>0.598</v>
      </c>
      <c r="AF12" s="34">
        <v>0.244</v>
      </c>
      <c r="AG12" s="34">
        <v>0.054</v>
      </c>
      <c r="AH12" s="34">
        <v>0.005</v>
      </c>
      <c r="AI12" s="34"/>
      <c r="AJ12" s="34"/>
    </row>
    <row r="13" spans="18:36" ht="12" customHeight="1">
      <c r="R13" s="32">
        <v>80</v>
      </c>
      <c r="S13" s="34">
        <f t="shared" si="0"/>
        <v>0.57</v>
      </c>
      <c r="T13" s="34">
        <f t="shared" si="1"/>
        <v>0.7690428647244806</v>
      </c>
      <c r="U13" s="34">
        <f t="shared" si="2"/>
        <v>0.8706817743710238</v>
      </c>
      <c r="V13" s="34"/>
      <c r="W13" s="34">
        <v>1.384</v>
      </c>
      <c r="X13" s="34">
        <v>0.643</v>
      </c>
      <c r="Y13" s="34">
        <v>0.16</v>
      </c>
      <c r="Z13" s="34">
        <v>0.015</v>
      </c>
      <c r="AA13" s="34"/>
      <c r="AB13" s="34"/>
      <c r="AC13" s="34"/>
      <c r="AD13" s="34">
        <v>1.22</v>
      </c>
      <c r="AE13" s="34">
        <v>0.728</v>
      </c>
      <c r="AF13" s="34">
        <v>0.335</v>
      </c>
      <c r="AG13" s="34">
        <v>0.095</v>
      </c>
      <c r="AH13" s="34">
        <v>0.011</v>
      </c>
      <c r="AI13" s="34"/>
      <c r="AJ13" s="34"/>
    </row>
    <row r="14" spans="2:36" ht="12" customHeight="1">
      <c r="B14" s="4" t="s">
        <v>19</v>
      </c>
      <c r="C14" s="5" t="s">
        <v>161</v>
      </c>
      <c r="D14" s="6">
        <v>1.8</v>
      </c>
      <c r="E14" s="7" t="s">
        <v>153</v>
      </c>
      <c r="R14" s="32">
        <v>90</v>
      </c>
      <c r="S14" s="34">
        <f t="shared" si="0"/>
        <v>0.57</v>
      </c>
      <c r="T14" s="34">
        <f t="shared" si="1"/>
        <v>0.727376198057814</v>
      </c>
      <c r="U14" s="34">
        <f t="shared" si="2"/>
        <v>0.8077385119596764</v>
      </c>
      <c r="V14" s="34"/>
      <c r="W14" s="34">
        <v>1.615</v>
      </c>
      <c r="X14" s="34">
        <v>0.83</v>
      </c>
      <c r="Y14" s="34">
        <v>0.266</v>
      </c>
      <c r="Z14" s="34">
        <v>0.035</v>
      </c>
      <c r="AA14" s="34"/>
      <c r="AB14" s="34"/>
      <c r="AC14" s="34"/>
      <c r="AD14" s="34">
        <v>1.387</v>
      </c>
      <c r="AE14" s="34">
        <v>0.87</v>
      </c>
      <c r="AF14" s="34">
        <v>0.438</v>
      </c>
      <c r="AG14" s="34">
        <v>0.148</v>
      </c>
      <c r="AH14" s="34">
        <v>0.024</v>
      </c>
      <c r="AI14" s="34"/>
      <c r="AJ14" s="34"/>
    </row>
    <row r="15" spans="3:36" ht="12" customHeight="1">
      <c r="C15" s="5" t="s">
        <v>20</v>
      </c>
      <c r="D15" s="6">
        <v>470</v>
      </c>
      <c r="E15" s="7" t="s">
        <v>162</v>
      </c>
      <c r="G15" s="7" t="s">
        <v>163</v>
      </c>
      <c r="H15" s="12">
        <f>L42</f>
        <v>277.2602875338753</v>
      </c>
      <c r="I15" s="7" t="s">
        <v>12</v>
      </c>
      <c r="R15" s="32">
        <v>100</v>
      </c>
      <c r="S15" s="34">
        <f t="shared" si="0"/>
        <v>0.57</v>
      </c>
      <c r="T15" s="34">
        <f t="shared" si="1"/>
        <v>0.6857095313911472</v>
      </c>
      <c r="U15" s="34">
        <f t="shared" si="2"/>
        <v>0.7447952495483288</v>
      </c>
      <c r="V15" s="34"/>
      <c r="W15" s="34"/>
      <c r="X15" s="34">
        <v>1.033</v>
      </c>
      <c r="Y15" s="34">
        <v>0.402</v>
      </c>
      <c r="Z15" s="34">
        <v>0.072</v>
      </c>
      <c r="AA15" s="34">
        <v>0.006</v>
      </c>
      <c r="AB15" s="34"/>
      <c r="AC15" s="34"/>
      <c r="AD15" s="34">
        <v>1.566</v>
      </c>
      <c r="AE15" s="34">
        <v>1.019</v>
      </c>
      <c r="AF15" s="34">
        <v>0.552</v>
      </c>
      <c r="AG15" s="34">
        <v>0.217</v>
      </c>
      <c r="AH15" s="34">
        <v>0.047</v>
      </c>
      <c r="AI15" s="34">
        <v>0.005</v>
      </c>
      <c r="AJ15" s="34"/>
    </row>
    <row r="16" spans="3:36" ht="12" customHeight="1">
      <c r="C16" s="5" t="s">
        <v>164</v>
      </c>
      <c r="D16" s="14">
        <v>160</v>
      </c>
      <c r="E16" s="5" t="s">
        <v>22</v>
      </c>
      <c r="G16" s="5" t="s">
        <v>165</v>
      </c>
      <c r="H16" s="8">
        <f>L33</f>
        <v>68.89634146341463</v>
      </c>
      <c r="I16" s="7" t="s">
        <v>132</v>
      </c>
      <c r="K16" s="5" t="s">
        <v>21</v>
      </c>
      <c r="L16" s="12">
        <f>H15-H18</f>
        <v>271.74858021680217</v>
      </c>
      <c r="M16" s="7" t="s">
        <v>123</v>
      </c>
      <c r="R16" s="32">
        <v>110</v>
      </c>
      <c r="S16" s="34">
        <f t="shared" si="0"/>
        <v>0.57</v>
      </c>
      <c r="T16" s="34">
        <f t="shared" si="1"/>
        <v>0.6440428647244806</v>
      </c>
      <c r="U16" s="34">
        <f t="shared" si="2"/>
        <v>0.6818519871369813</v>
      </c>
      <c r="V16" s="34"/>
      <c r="W16" s="34"/>
      <c r="X16" s="34">
        <v>1.248</v>
      </c>
      <c r="Y16" s="34">
        <v>0.556</v>
      </c>
      <c r="Z16" s="34">
        <v>0.135</v>
      </c>
      <c r="AA16" s="34">
        <v>0.014</v>
      </c>
      <c r="AB16" s="34"/>
      <c r="AC16" s="34"/>
      <c r="AD16" s="34"/>
      <c r="AE16" s="34">
        <v>1.177</v>
      </c>
      <c r="AF16" s="34">
        <v>0.677</v>
      </c>
      <c r="AG16" s="34">
        <v>0.301</v>
      </c>
      <c r="AH16" s="34">
        <v>0.084</v>
      </c>
      <c r="AI16" s="34">
        <v>0.011</v>
      </c>
      <c r="AJ16" s="34"/>
    </row>
    <row r="17" spans="3:36" ht="12" customHeight="1">
      <c r="C17" s="5" t="s">
        <v>166</v>
      </c>
      <c r="D17" s="15">
        <v>21</v>
      </c>
      <c r="E17" s="7" t="s">
        <v>123</v>
      </c>
      <c r="G17" s="7" t="s">
        <v>47</v>
      </c>
      <c r="H17" s="12">
        <f>H16/2</f>
        <v>34.448170731707314</v>
      </c>
      <c r="I17" s="7" t="s">
        <v>132</v>
      </c>
      <c r="K17" s="5" t="s">
        <v>3</v>
      </c>
      <c r="L17" s="12">
        <f>L16-D17</f>
        <v>250.74858021680217</v>
      </c>
      <c r="M17" s="7" t="s">
        <v>121</v>
      </c>
      <c r="R17" s="32">
        <v>120</v>
      </c>
      <c r="S17" s="34">
        <f t="shared" si="0"/>
        <v>0.57</v>
      </c>
      <c r="T17" s="34">
        <f t="shared" si="1"/>
        <v>0.602376198057814</v>
      </c>
      <c r="U17" s="34">
        <f t="shared" si="2"/>
        <v>0.6189087247256337</v>
      </c>
      <c r="V17" s="34"/>
      <c r="W17" s="34"/>
      <c r="X17" s="34">
        <v>1.472</v>
      </c>
      <c r="Y17" s="34">
        <v>0.733</v>
      </c>
      <c r="Z17" s="34">
        <v>0.224</v>
      </c>
      <c r="AA17" s="34">
        <v>0.033</v>
      </c>
      <c r="AB17" s="34"/>
      <c r="AC17" s="34"/>
      <c r="AD17" s="34"/>
      <c r="AE17" s="34">
        <v>1.343</v>
      </c>
      <c r="AF17" s="34">
        <v>0.812</v>
      </c>
      <c r="AG17" s="34">
        <v>0.399</v>
      </c>
      <c r="AH17" s="34">
        <v>0.13</v>
      </c>
      <c r="AI17" s="34">
        <v>0.022</v>
      </c>
      <c r="AJ17" s="34"/>
    </row>
    <row r="18" spans="3:36" ht="12" customHeight="1">
      <c r="C18" s="5" t="s">
        <v>167</v>
      </c>
      <c r="D18" s="15">
        <v>19</v>
      </c>
      <c r="E18" s="7" t="s">
        <v>168</v>
      </c>
      <c r="G18" s="7" t="s">
        <v>169</v>
      </c>
      <c r="H18" s="12">
        <f>D16*H17/1000</f>
        <v>5.51170731707317</v>
      </c>
      <c r="I18" s="7" t="s">
        <v>170</v>
      </c>
      <c r="K18" s="5" t="s">
        <v>4</v>
      </c>
      <c r="L18" s="12">
        <f>L17*H17/1000</f>
        <v>8.63782990204161</v>
      </c>
      <c r="M18" s="7" t="s">
        <v>134</v>
      </c>
      <c r="R18" s="32">
        <v>130</v>
      </c>
      <c r="S18" s="34">
        <f t="shared" si="0"/>
        <v>0.57</v>
      </c>
      <c r="T18" s="34">
        <f t="shared" si="1"/>
        <v>0.5607095313911472</v>
      </c>
      <c r="U18" s="34">
        <f t="shared" si="2"/>
        <v>0.5559654623142862</v>
      </c>
      <c r="V18" s="34"/>
      <c r="W18" s="34"/>
      <c r="X18" s="34">
        <v>1.705</v>
      </c>
      <c r="Y18" s="34">
        <v>0.923</v>
      </c>
      <c r="Z18" s="34">
        <v>0.34</v>
      </c>
      <c r="AA18" s="34">
        <v>0.066</v>
      </c>
      <c r="AB18" s="34">
        <v>0.007</v>
      </c>
      <c r="AC18" s="34"/>
      <c r="AD18" s="34"/>
      <c r="AE18" s="34">
        <v>1.515</v>
      </c>
      <c r="AF18" s="34">
        <v>0.958</v>
      </c>
      <c r="AG18" s="34">
        <v>0.505</v>
      </c>
      <c r="AH18" s="34">
        <v>0.193</v>
      </c>
      <c r="AI18" s="34">
        <v>0.042</v>
      </c>
      <c r="AJ18" s="34">
        <v>0.006</v>
      </c>
    </row>
    <row r="19" spans="2:36" ht="12" customHeight="1">
      <c r="B19" s="46" t="s">
        <v>229</v>
      </c>
      <c r="C19" s="53" t="s">
        <v>234</v>
      </c>
      <c r="D19" s="1">
        <v>1.8</v>
      </c>
      <c r="E19" s="1" t="s">
        <v>69</v>
      </c>
      <c r="R19" s="32">
        <v>140</v>
      </c>
      <c r="S19" s="34">
        <f t="shared" si="0"/>
        <v>0.57</v>
      </c>
      <c r="T19" s="34">
        <f t="shared" si="1"/>
        <v>0.5190428647244806</v>
      </c>
      <c r="U19" s="34">
        <f t="shared" si="2"/>
        <v>0.4930221999029387</v>
      </c>
      <c r="V19" s="34"/>
      <c r="W19" s="34"/>
      <c r="X19" s="34"/>
      <c r="Y19" s="34">
        <v>1.137</v>
      </c>
      <c r="Z19" s="34">
        <v>0.48</v>
      </c>
      <c r="AA19" s="34">
        <v>0.118</v>
      </c>
      <c r="AB19" s="34">
        <v>0.015</v>
      </c>
      <c r="AC19" s="34"/>
      <c r="AD19" s="34"/>
      <c r="AE19" s="34"/>
      <c r="AF19" s="34">
        <v>1.115</v>
      </c>
      <c r="AG19" s="34">
        <v>0.63</v>
      </c>
      <c r="AH19" s="34">
        <v>0.273</v>
      </c>
      <c r="AI19" s="34">
        <v>0.073</v>
      </c>
      <c r="AJ19" s="34">
        <v>0.011</v>
      </c>
    </row>
    <row r="20" spans="3:36" ht="12" customHeight="1">
      <c r="C20" s="53" t="s">
        <v>235</v>
      </c>
      <c r="D20" s="1">
        <v>1.4</v>
      </c>
      <c r="E20" s="1" t="s">
        <v>69</v>
      </c>
      <c r="G20" s="5" t="s">
        <v>243</v>
      </c>
      <c r="H20" s="12">
        <v>0.4</v>
      </c>
      <c r="I20" s="28" t="s">
        <v>113</v>
      </c>
      <c r="K20" s="5" t="s">
        <v>247</v>
      </c>
      <c r="L20" s="12">
        <f>D25/H21</f>
        <v>1.8518518518518516</v>
      </c>
      <c r="M20" s="7"/>
      <c r="R20" s="32">
        <v>150</v>
      </c>
      <c r="S20" s="34">
        <f t="shared" si="0"/>
        <v>0.57</v>
      </c>
      <c r="T20" s="34">
        <f t="shared" si="1"/>
        <v>0.4773761980578139</v>
      </c>
      <c r="U20" s="34">
        <f t="shared" si="2"/>
        <v>0.4300789374915912</v>
      </c>
      <c r="V20" s="34"/>
      <c r="W20" s="34"/>
      <c r="X20" s="34"/>
      <c r="Y20" s="34">
        <v>1.344</v>
      </c>
      <c r="Z20" s="34">
        <v>0.646</v>
      </c>
      <c r="AA20" s="34">
        <v>0.195</v>
      </c>
      <c r="AB20" s="34">
        <v>0.031</v>
      </c>
      <c r="AC20" s="34"/>
      <c r="AD20" s="34"/>
      <c r="AE20" s="34"/>
      <c r="AF20" s="34">
        <v>1.276</v>
      </c>
      <c r="AG20" s="34">
        <v>0.762</v>
      </c>
      <c r="AH20" s="34">
        <v>0.364</v>
      </c>
      <c r="AI20" s="34">
        <v>0.117</v>
      </c>
      <c r="AJ20" s="34">
        <v>0.021</v>
      </c>
    </row>
    <row r="21" spans="2:36" ht="12" customHeight="1">
      <c r="B21" s="46"/>
      <c r="C21" s="53" t="s">
        <v>236</v>
      </c>
      <c r="D21" s="1">
        <v>1.8</v>
      </c>
      <c r="E21" s="1" t="s">
        <v>69</v>
      </c>
      <c r="G21" s="5" t="s">
        <v>262</v>
      </c>
      <c r="H21" s="12">
        <f>((D14*1000*2)+(D16*2))/(D23*1000/D25)+H20</f>
        <v>4.32</v>
      </c>
      <c r="I21" s="28" t="s">
        <v>113</v>
      </c>
      <c r="K21" s="5" t="s">
        <v>248</v>
      </c>
      <c r="L21" s="12">
        <f>(L20+1)*L26-1</f>
        <v>2.792741888667314</v>
      </c>
      <c r="M21" s="7"/>
      <c r="R21" s="32">
        <v>160</v>
      </c>
      <c r="S21" s="34">
        <f t="shared" si="0"/>
        <v>0.57</v>
      </c>
      <c r="T21" s="34">
        <f t="shared" si="1"/>
        <v>0.4357095313911472</v>
      </c>
      <c r="U21" s="34">
        <f t="shared" si="2"/>
        <v>0.3671356750802437</v>
      </c>
      <c r="V21" s="34"/>
      <c r="W21" s="34"/>
      <c r="X21" s="34"/>
      <c r="Y21" s="34">
        <v>1.565</v>
      </c>
      <c r="Z21" s="34">
        <v>0.824</v>
      </c>
      <c r="AA21" s="34">
        <v>0.298</v>
      </c>
      <c r="AB21" s="34">
        <v>0.059</v>
      </c>
      <c r="AC21" s="34">
        <v>0.007</v>
      </c>
      <c r="AD21" s="34"/>
      <c r="AE21" s="34"/>
      <c r="AF21" s="34">
        <v>1.444</v>
      </c>
      <c r="AG21" s="34">
        <v>0.901</v>
      </c>
      <c r="AH21" s="34">
        <v>0.467</v>
      </c>
      <c r="AI21" s="34">
        <v>0.174</v>
      </c>
      <c r="AJ21" s="34">
        <v>0.038</v>
      </c>
    </row>
    <row r="22" spans="7:36" ht="12" customHeight="1">
      <c r="G22" s="30"/>
      <c r="R22" s="32">
        <v>170</v>
      </c>
      <c r="S22" s="34">
        <f t="shared" si="0"/>
        <v>0.57</v>
      </c>
      <c r="T22" s="34">
        <f t="shared" si="1"/>
        <v>0.3940428647244806</v>
      </c>
      <c r="U22" s="34">
        <f t="shared" si="2"/>
        <v>0.3041924126688962</v>
      </c>
      <c r="V22" s="34"/>
      <c r="W22" s="34"/>
      <c r="X22" s="34"/>
      <c r="Y22" s="34"/>
      <c r="Z22" s="34">
        <v>1.018</v>
      </c>
      <c r="AA22" s="34">
        <v>0.425</v>
      </c>
      <c r="AB22" s="34">
        <v>0.105</v>
      </c>
      <c r="AC22" s="34">
        <v>0.014</v>
      </c>
      <c r="AD22" s="34"/>
      <c r="AE22" s="34"/>
      <c r="AF22" s="34">
        <v>1.617</v>
      </c>
      <c r="AG22" s="34">
        <v>1.052</v>
      </c>
      <c r="AH22" s="34">
        <v>0.582</v>
      </c>
      <c r="AI22" s="34">
        <v>0.246</v>
      </c>
      <c r="AJ22" s="34">
        <v>0.064</v>
      </c>
    </row>
    <row r="23" spans="2:36" ht="12" customHeight="1">
      <c r="B23" s="18" t="s">
        <v>171</v>
      </c>
      <c r="C23" s="5" t="s">
        <v>68</v>
      </c>
      <c r="D23" s="15">
        <v>8</v>
      </c>
      <c r="E23" s="7" t="s">
        <v>172</v>
      </c>
      <c r="G23" s="5" t="s">
        <v>244</v>
      </c>
      <c r="H23" s="16">
        <f>H17*H17*D23/2000</f>
        <v>4.746705867043426</v>
      </c>
      <c r="I23" s="7" t="s">
        <v>173</v>
      </c>
      <c r="K23" s="5" t="s">
        <v>174</v>
      </c>
      <c r="L23" s="16">
        <f>D17*2/(L8*SQRT(2))</f>
        <v>0.708778428423395</v>
      </c>
      <c r="M23" s="7" t="s">
        <v>0</v>
      </c>
      <c r="R23" s="32">
        <v>180</v>
      </c>
      <c r="S23" s="34">
        <f t="shared" si="0"/>
        <v>0.57</v>
      </c>
      <c r="T23" s="34">
        <f t="shared" si="1"/>
        <v>0.3523761980578139</v>
      </c>
      <c r="U23" s="34">
        <f t="shared" si="2"/>
        <v>0.24124915025754867</v>
      </c>
      <c r="V23" s="34"/>
      <c r="W23" s="34"/>
      <c r="X23" s="34"/>
      <c r="Y23" s="34"/>
      <c r="Z23" s="34">
        <v>1.23</v>
      </c>
      <c r="AA23" s="34">
        <v>0.574</v>
      </c>
      <c r="AB23" s="34">
        <v>0.173</v>
      </c>
      <c r="AC23" s="34">
        <v>0.029</v>
      </c>
      <c r="AD23" s="34"/>
      <c r="AE23" s="34"/>
      <c r="AF23" s="34"/>
      <c r="AG23" s="34">
        <v>1.21</v>
      </c>
      <c r="AH23" s="34">
        <v>0.71</v>
      </c>
      <c r="AI23" s="34">
        <v>0.33</v>
      </c>
      <c r="AJ23" s="34">
        <v>0.102</v>
      </c>
    </row>
    <row r="24" spans="3:36" ht="12" customHeight="1">
      <c r="C24" s="5" t="s">
        <v>175</v>
      </c>
      <c r="D24" s="29">
        <v>0.9</v>
      </c>
      <c r="E24" s="5" t="s">
        <v>1</v>
      </c>
      <c r="G24" s="5" t="s">
        <v>245</v>
      </c>
      <c r="H24" s="16">
        <f>H23*D24</f>
        <v>4.272035280339083</v>
      </c>
      <c r="I24" s="7" t="s">
        <v>176</v>
      </c>
      <c r="K24" s="5" t="s">
        <v>177</v>
      </c>
      <c r="L24" s="16">
        <f>H25/L23</f>
        <v>8.24806201104464</v>
      </c>
      <c r="M24" s="5" t="s">
        <v>1</v>
      </c>
      <c r="R24" s="32">
        <v>190</v>
      </c>
      <c r="S24" s="34">
        <f t="shared" si="0"/>
        <v>0.57</v>
      </c>
      <c r="T24" s="34">
        <f t="shared" si="1"/>
        <v>0.3107095313911472</v>
      </c>
      <c r="U24" s="34">
        <f t="shared" si="2"/>
        <v>0.17830588784620116</v>
      </c>
      <c r="V24" s="34"/>
      <c r="W24" s="34"/>
      <c r="X24" s="34"/>
      <c r="Y24" s="34"/>
      <c r="Z24" s="34">
        <v>1.447</v>
      </c>
      <c r="AA24" s="34">
        <v>0.742</v>
      </c>
      <c r="AB24" s="34">
        <v>0.261</v>
      </c>
      <c r="AC24" s="34">
        <v>0.055</v>
      </c>
      <c r="AD24" s="34"/>
      <c r="AE24" s="34"/>
      <c r="AF24" s="34"/>
      <c r="AG24" s="34">
        <v>1.372</v>
      </c>
      <c r="AH24" s="34">
        <v>0.844</v>
      </c>
      <c r="AI24" s="34">
        <v>0.426</v>
      </c>
      <c r="AJ24" s="34">
        <v>0.152</v>
      </c>
    </row>
    <row r="25" spans="3:36" ht="12" customHeight="1">
      <c r="C25" s="5" t="s">
        <v>178</v>
      </c>
      <c r="D25" s="15">
        <v>8</v>
      </c>
      <c r="E25" s="5" t="s">
        <v>252</v>
      </c>
      <c r="G25" s="5" t="s">
        <v>246</v>
      </c>
      <c r="H25" s="16">
        <f>SQRT(H24*D25)</f>
        <v>5.846048429726927</v>
      </c>
      <c r="I25" s="7" t="s">
        <v>8</v>
      </c>
      <c r="K25" s="5" t="s">
        <v>179</v>
      </c>
      <c r="L25" s="16">
        <f>(L24*(D26*1000+D27)/D27)/(L24+(D26*1000+D27)/D27)</f>
        <v>6.201911865046995</v>
      </c>
      <c r="M25" s="5" t="s">
        <v>1</v>
      </c>
      <c r="R25" s="32">
        <v>200</v>
      </c>
      <c r="S25" s="34">
        <f t="shared" si="0"/>
        <v>0.57</v>
      </c>
      <c r="T25" s="34">
        <f t="shared" si="1"/>
        <v>0.2690428647244806</v>
      </c>
      <c r="U25" s="34">
        <f t="shared" si="2"/>
        <v>0.11536262543485365</v>
      </c>
      <c r="V25" s="34"/>
      <c r="W25" s="34"/>
      <c r="X25" s="34"/>
      <c r="Y25" s="34"/>
      <c r="Z25" s="34">
        <v>1.675</v>
      </c>
      <c r="AA25" s="34">
        <v>0.927</v>
      </c>
      <c r="AB25" s="34">
        <v>0.376</v>
      </c>
      <c r="AC25" s="34">
        <v>0.094</v>
      </c>
      <c r="AD25" s="34"/>
      <c r="AE25" s="34"/>
      <c r="AF25" s="34"/>
      <c r="AG25" s="34">
        <v>1.543</v>
      </c>
      <c r="AH25" s="34">
        <v>0.987</v>
      </c>
      <c r="AI25" s="34">
        <v>0.536</v>
      </c>
      <c r="AJ25" s="34">
        <v>0.217</v>
      </c>
    </row>
    <row r="26" spans="3:36" ht="12" customHeight="1">
      <c r="C26" s="5" t="s">
        <v>180</v>
      </c>
      <c r="D26" s="15">
        <v>2.4</v>
      </c>
      <c r="E26" s="28" t="s">
        <v>181</v>
      </c>
      <c r="K26" s="5" t="s">
        <v>78</v>
      </c>
      <c r="L26" s="16">
        <f>L24/L25</f>
        <v>1.3299224804417855</v>
      </c>
      <c r="M26" s="5" t="s">
        <v>1</v>
      </c>
      <c r="R26" s="32">
        <v>210</v>
      </c>
      <c r="S26" s="34">
        <f t="shared" si="0"/>
        <v>0.57</v>
      </c>
      <c r="T26" s="34">
        <f t="shared" si="1"/>
        <v>0.2273761980578139</v>
      </c>
      <c r="U26" s="34">
        <f t="shared" si="2"/>
        <v>0.05241936302350614</v>
      </c>
      <c r="V26" s="34"/>
      <c r="W26" s="34"/>
      <c r="X26" s="34"/>
      <c r="Y26" s="34"/>
      <c r="Z26" s="34"/>
      <c r="AA26" s="34">
        <v>1.125</v>
      </c>
      <c r="AB26" s="34">
        <v>0.512</v>
      </c>
      <c r="AC26" s="34">
        <v>0.152</v>
      </c>
      <c r="AD26" s="34"/>
      <c r="AE26" s="34"/>
      <c r="AF26" s="34"/>
      <c r="AG26" s="34"/>
      <c r="AH26" s="34">
        <v>1.139</v>
      </c>
      <c r="AI26" s="34">
        <v>0.656</v>
      </c>
      <c r="AJ26" s="34">
        <v>0.295</v>
      </c>
    </row>
    <row r="27" spans="3:36" ht="12" customHeight="1">
      <c r="C27" s="5" t="s">
        <v>182</v>
      </c>
      <c r="D27" s="15">
        <v>100</v>
      </c>
      <c r="E27" s="5" t="s">
        <v>113</v>
      </c>
      <c r="K27" s="5" t="s">
        <v>78</v>
      </c>
      <c r="L27" s="16">
        <f>20*LOG10(L26)</f>
        <v>2.476526544190779</v>
      </c>
      <c r="M27" s="7" t="s">
        <v>259</v>
      </c>
      <c r="R27" s="32">
        <v>220</v>
      </c>
      <c r="S27" s="34">
        <f t="shared" si="0"/>
        <v>0.57</v>
      </c>
      <c r="T27" s="34">
        <f t="shared" si="1"/>
        <v>0.1857095313911472</v>
      </c>
      <c r="U27" s="34">
        <f t="shared" si="2"/>
        <v>-0.010523899387841373</v>
      </c>
      <c r="V27" s="34"/>
      <c r="W27" s="34"/>
      <c r="X27" s="34"/>
      <c r="Y27" s="34"/>
      <c r="Z27" s="34"/>
      <c r="AA27" s="34">
        <v>1.336</v>
      </c>
      <c r="AB27" s="34">
        <v>0.67</v>
      </c>
      <c r="AC27" s="34">
        <v>0.23</v>
      </c>
      <c r="AD27" s="34"/>
      <c r="AE27" s="34"/>
      <c r="AF27" s="34"/>
      <c r="AG27" s="34"/>
      <c r="AH27" s="34">
        <v>1.3</v>
      </c>
      <c r="AI27" s="34">
        <v>0.786</v>
      </c>
      <c r="AJ27" s="34">
        <v>0.386</v>
      </c>
    </row>
    <row r="28" spans="18:36" ht="12" customHeight="1">
      <c r="R28" s="50">
        <f>H5</f>
        <v>264.57028753387533</v>
      </c>
      <c r="S28" s="34">
        <f t="shared" si="0"/>
        <v>0.57</v>
      </c>
      <c r="T28" s="34">
        <f t="shared" si="1"/>
        <v>0</v>
      </c>
      <c r="U28" s="34">
        <f t="shared" si="2"/>
        <v>-0.291063829787234</v>
      </c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ht="12" customHeight="1">
      <c r="B29" s="4" t="s">
        <v>183</v>
      </c>
      <c r="C29" s="5" t="s">
        <v>120</v>
      </c>
      <c r="D29" s="6">
        <v>6.1</v>
      </c>
      <c r="E29" s="7" t="s">
        <v>121</v>
      </c>
      <c r="G29" s="5" t="s">
        <v>122</v>
      </c>
      <c r="H29" s="13">
        <f>D29-D30</f>
        <v>5.52</v>
      </c>
      <c r="I29" s="7" t="s">
        <v>123</v>
      </c>
      <c r="K29" s="5" t="s">
        <v>124</v>
      </c>
      <c r="L29" s="16">
        <f>H29*H30/1000</f>
        <v>0.371590243902439</v>
      </c>
      <c r="M29" s="7" t="s">
        <v>125</v>
      </c>
      <c r="R29" s="50">
        <f>L6</f>
        <v>127.77028753387535</v>
      </c>
      <c r="S29" s="34"/>
      <c r="T29" s="34"/>
      <c r="U29" s="34"/>
      <c r="V29" s="34">
        <f>H7</f>
        <v>0.57</v>
      </c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3:21" ht="12" customHeight="1">
      <c r="C30" s="5" t="s">
        <v>126</v>
      </c>
      <c r="D30" s="6">
        <v>0.58</v>
      </c>
      <c r="E30" s="7" t="s">
        <v>127</v>
      </c>
      <c r="G30" s="5" t="s">
        <v>184</v>
      </c>
      <c r="H30" s="12">
        <f>H29*1000/D31</f>
        <v>67.3170731707317</v>
      </c>
      <c r="I30" s="7" t="s">
        <v>128</v>
      </c>
      <c r="T30" s="34">
        <f>D8</f>
        <v>240</v>
      </c>
      <c r="U30" s="36">
        <f>H8</f>
        <v>158.8732394366197</v>
      </c>
    </row>
    <row r="31" spans="3:26" ht="12" customHeight="1">
      <c r="C31" s="5" t="s">
        <v>185</v>
      </c>
      <c r="D31" s="6">
        <v>82</v>
      </c>
      <c r="E31" s="5" t="s">
        <v>129</v>
      </c>
      <c r="G31" s="5" t="s">
        <v>186</v>
      </c>
      <c r="H31" s="17">
        <f>D32-H32</f>
        <v>1.579268292682927</v>
      </c>
      <c r="I31" s="7" t="s">
        <v>130</v>
      </c>
      <c r="K31" s="5" t="s">
        <v>131</v>
      </c>
      <c r="L31" s="17">
        <f>D17-H29</f>
        <v>15.48</v>
      </c>
      <c r="M31" s="7" t="s">
        <v>123</v>
      </c>
      <c r="T31" s="37">
        <f>R29</f>
        <v>127.77028753387535</v>
      </c>
      <c r="U31" s="36">
        <f>R29</f>
        <v>127.77028753387535</v>
      </c>
      <c r="V31" s="30"/>
      <c r="W31" s="30"/>
      <c r="X31" s="30"/>
      <c r="Y31" s="30"/>
      <c r="Z31" s="30"/>
    </row>
    <row r="32" spans="3:13" ht="12" customHeight="1">
      <c r="C32" s="5" t="s">
        <v>257</v>
      </c>
      <c r="D32" s="6">
        <v>2</v>
      </c>
      <c r="E32" s="7" t="s">
        <v>132</v>
      </c>
      <c r="G32" s="5" t="s">
        <v>187</v>
      </c>
      <c r="H32" s="16">
        <f>H30/D33</f>
        <v>0.42073170731707316</v>
      </c>
      <c r="I32" s="7" t="s">
        <v>133</v>
      </c>
      <c r="K32" s="9" t="s">
        <v>188</v>
      </c>
      <c r="L32" s="49">
        <f>L31*H33/1000</f>
        <v>1.0355553658536585</v>
      </c>
      <c r="M32" s="11" t="s">
        <v>134</v>
      </c>
    </row>
    <row r="33" spans="3:36" ht="12" customHeight="1">
      <c r="C33" s="5" t="s">
        <v>258</v>
      </c>
      <c r="D33" s="6">
        <v>160</v>
      </c>
      <c r="E33" s="5" t="s">
        <v>189</v>
      </c>
      <c r="G33" s="5" t="s">
        <v>135</v>
      </c>
      <c r="H33" s="8">
        <f>H30-H32</f>
        <v>66.89634146341463</v>
      </c>
      <c r="I33" s="7" t="s">
        <v>128</v>
      </c>
      <c r="K33" s="5" t="s">
        <v>190</v>
      </c>
      <c r="L33" s="8">
        <f>D32+H33</f>
        <v>68.89634146341463</v>
      </c>
      <c r="M33" s="7" t="s">
        <v>132</v>
      </c>
      <c r="W33" s="42" t="s">
        <v>240</v>
      </c>
      <c r="X33" s="43"/>
      <c r="Y33" s="43"/>
      <c r="Z33" s="43"/>
      <c r="AA33" s="43"/>
      <c r="AB33" s="43"/>
      <c r="AC33" s="42" t="s">
        <v>239</v>
      </c>
      <c r="AD33" s="43"/>
      <c r="AE33" s="43"/>
      <c r="AF33" s="43"/>
      <c r="AG33" s="43"/>
      <c r="AH33" s="39"/>
      <c r="AI33" s="39"/>
      <c r="AJ33" s="40"/>
    </row>
    <row r="34" spans="18:36" ht="12" customHeight="1">
      <c r="R34" s="34"/>
      <c r="S34" s="18" t="s">
        <v>199</v>
      </c>
      <c r="T34" s="18" t="s">
        <v>98</v>
      </c>
      <c r="U34" s="18" t="s">
        <v>200</v>
      </c>
      <c r="V34" s="18" t="s">
        <v>201</v>
      </c>
      <c r="W34" s="45" t="s">
        <v>143</v>
      </c>
      <c r="X34" s="45" t="s">
        <v>202</v>
      </c>
      <c r="Y34" s="45" t="s">
        <v>80</v>
      </c>
      <c r="Z34" s="45" t="s">
        <v>81</v>
      </c>
      <c r="AA34" s="45" t="s">
        <v>93</v>
      </c>
      <c r="AB34" s="45" t="s">
        <v>94</v>
      </c>
      <c r="AC34" s="45" t="s">
        <v>82</v>
      </c>
      <c r="AD34" s="45" t="s">
        <v>103</v>
      </c>
      <c r="AE34" s="45" t="s">
        <v>81</v>
      </c>
      <c r="AF34" s="45" t="s">
        <v>104</v>
      </c>
      <c r="AG34" s="45" t="s">
        <v>95</v>
      </c>
      <c r="AH34" s="41"/>
      <c r="AI34" s="41"/>
      <c r="AJ34" s="41"/>
    </row>
    <row r="35" spans="2:36" ht="12" customHeight="1">
      <c r="B35" s="18" t="s">
        <v>191</v>
      </c>
      <c r="C35" s="19" t="s">
        <v>110</v>
      </c>
      <c r="D35" s="20">
        <v>250</v>
      </c>
      <c r="E35" s="21" t="s">
        <v>192</v>
      </c>
      <c r="G35" s="5" t="s">
        <v>254</v>
      </c>
      <c r="H35" s="12">
        <f>((D35*1.414)-(D35*1.25))/D36*1100+D39*1.5</f>
        <v>291.05555555555554</v>
      </c>
      <c r="I35" s="28" t="s">
        <v>193</v>
      </c>
      <c r="K35" s="19" t="s">
        <v>194</v>
      </c>
      <c r="L35" s="12">
        <f>(D35*1.4*D47/100)-(L47*H35/1000)</f>
        <v>309.1088241192412</v>
      </c>
      <c r="M35" s="21" t="s">
        <v>106</v>
      </c>
      <c r="R35" s="32">
        <v>0</v>
      </c>
      <c r="S35" s="36">
        <f aca="true" t="shared" si="3" ref="S35:S55">$H$17</f>
        <v>34.448170731707314</v>
      </c>
      <c r="T35" s="34"/>
      <c r="U35" s="34">
        <f aca="true" t="shared" si="4" ref="U35:U55">(U$61-R35)/U$60+S35</f>
        <v>97.13531578590786</v>
      </c>
      <c r="V35" s="34"/>
      <c r="W35" s="34">
        <v>0</v>
      </c>
      <c r="X35" s="34"/>
      <c r="Y35" s="34"/>
      <c r="Z35" s="34"/>
      <c r="AA35" s="34"/>
      <c r="AB35" s="34"/>
      <c r="AC35" s="34">
        <v>0</v>
      </c>
      <c r="AD35" s="34"/>
      <c r="AE35" s="34"/>
      <c r="AF35" s="34"/>
      <c r="AG35" s="34"/>
      <c r="AH35" s="34"/>
      <c r="AI35" s="34"/>
      <c r="AJ35" s="34"/>
    </row>
    <row r="36" spans="3:36" ht="12" customHeight="1">
      <c r="C36" s="19" t="s">
        <v>111</v>
      </c>
      <c r="D36" s="20">
        <v>180</v>
      </c>
      <c r="E36" s="21" t="s">
        <v>195</v>
      </c>
      <c r="R36" s="32">
        <v>20</v>
      </c>
      <c r="S36" s="36">
        <f t="shared" si="3"/>
        <v>34.448170731707314</v>
      </c>
      <c r="T36" s="34">
        <f aca="true" t="shared" si="5" ref="T36:T57">$D$18*1000/R36</f>
        <v>950</v>
      </c>
      <c r="U36" s="34">
        <f t="shared" si="4"/>
        <v>92.13531578590786</v>
      </c>
      <c r="V36" s="34"/>
      <c r="W36" s="34">
        <v>8</v>
      </c>
      <c r="X36" s="34"/>
      <c r="Y36" s="34"/>
      <c r="Z36" s="34"/>
      <c r="AA36" s="34"/>
      <c r="AB36" s="34"/>
      <c r="AC36" s="34">
        <v>7</v>
      </c>
      <c r="AD36" s="34"/>
      <c r="AE36" s="34"/>
      <c r="AF36" s="34"/>
      <c r="AG36" s="34"/>
      <c r="AH36" s="34"/>
      <c r="AI36" s="34"/>
      <c r="AJ36" s="34"/>
    </row>
    <row r="37" spans="3:36" ht="12" customHeight="1">
      <c r="C37" s="46" t="s">
        <v>228</v>
      </c>
      <c r="R37" s="32">
        <v>40</v>
      </c>
      <c r="S37" s="36">
        <f t="shared" si="3"/>
        <v>34.448170731707314</v>
      </c>
      <c r="T37" s="34">
        <f t="shared" si="5"/>
        <v>475</v>
      </c>
      <c r="U37" s="34">
        <f t="shared" si="4"/>
        <v>87.13531578590786</v>
      </c>
      <c r="V37" s="34"/>
      <c r="W37" s="34">
        <v>20</v>
      </c>
      <c r="X37" s="34"/>
      <c r="Y37" s="34"/>
      <c r="Z37" s="34"/>
      <c r="AA37" s="34"/>
      <c r="AB37" s="34"/>
      <c r="AC37" s="34">
        <v>17.5</v>
      </c>
      <c r="AD37" s="34"/>
      <c r="AE37" s="34"/>
      <c r="AF37" s="34"/>
      <c r="AG37" s="34"/>
      <c r="AH37" s="34"/>
      <c r="AI37" s="34"/>
      <c r="AJ37" s="34"/>
    </row>
    <row r="38" spans="18:36" ht="12" customHeight="1">
      <c r="R38" s="32">
        <v>60</v>
      </c>
      <c r="S38" s="36">
        <f t="shared" si="3"/>
        <v>34.448170731707314</v>
      </c>
      <c r="T38" s="34">
        <f t="shared" si="5"/>
        <v>316.6666666666667</v>
      </c>
      <c r="U38" s="34">
        <f t="shared" si="4"/>
        <v>82.13531578590786</v>
      </c>
      <c r="V38" s="34"/>
      <c r="W38" s="34">
        <v>34</v>
      </c>
      <c r="X38" s="34">
        <v>0</v>
      </c>
      <c r="Y38" s="34"/>
      <c r="Z38" s="34"/>
      <c r="AA38" s="34"/>
      <c r="AB38" s="34"/>
      <c r="AC38" s="34">
        <v>28</v>
      </c>
      <c r="AD38" s="34"/>
      <c r="AE38" s="34"/>
      <c r="AF38" s="34"/>
      <c r="AG38" s="34"/>
      <c r="AH38" s="34"/>
      <c r="AI38" s="34"/>
      <c r="AJ38" s="34"/>
    </row>
    <row r="39" spans="2:36" ht="12" customHeight="1">
      <c r="B39" s="18" t="s">
        <v>196</v>
      </c>
      <c r="C39" s="7" t="s">
        <v>197</v>
      </c>
      <c r="D39" s="6">
        <v>27</v>
      </c>
      <c r="E39" s="5" t="s">
        <v>198</v>
      </c>
      <c r="R39" s="32">
        <v>80</v>
      </c>
      <c r="S39" s="36">
        <f t="shared" si="3"/>
        <v>34.448170731707314</v>
      </c>
      <c r="T39" s="34">
        <f t="shared" si="5"/>
        <v>237.5</v>
      </c>
      <c r="U39" s="34">
        <f t="shared" si="4"/>
        <v>77.13531578590786</v>
      </c>
      <c r="V39" s="34"/>
      <c r="W39" s="34">
        <v>50</v>
      </c>
      <c r="X39" s="34">
        <v>2</v>
      </c>
      <c r="Y39" s="34"/>
      <c r="Z39" s="34"/>
      <c r="AA39" s="34"/>
      <c r="AB39" s="34"/>
      <c r="AC39" s="34">
        <v>40</v>
      </c>
      <c r="AD39" s="34"/>
      <c r="AE39" s="34"/>
      <c r="AF39" s="34"/>
      <c r="AG39" s="34"/>
      <c r="AH39" s="34"/>
      <c r="AI39" s="34"/>
      <c r="AJ39" s="34"/>
    </row>
    <row r="40" spans="3:36" ht="12" customHeight="1">
      <c r="C40" s="7" t="s">
        <v>255</v>
      </c>
      <c r="D40" s="6">
        <v>100</v>
      </c>
      <c r="E40" s="5" t="s">
        <v>113</v>
      </c>
      <c r="G40" s="7" t="s">
        <v>203</v>
      </c>
      <c r="H40" s="12">
        <f>L47*D40/1000</f>
        <v>14.049268292682925</v>
      </c>
      <c r="I40" s="7" t="s">
        <v>106</v>
      </c>
      <c r="K40" s="7" t="s">
        <v>204</v>
      </c>
      <c r="L40" s="22">
        <f>L35-H40</f>
        <v>295.05955582655827</v>
      </c>
      <c r="M40" s="7" t="s">
        <v>205</v>
      </c>
      <c r="R40" s="32">
        <v>100</v>
      </c>
      <c r="S40" s="36">
        <f t="shared" si="3"/>
        <v>34.448170731707314</v>
      </c>
      <c r="T40" s="34">
        <f t="shared" si="5"/>
        <v>190</v>
      </c>
      <c r="U40" s="34">
        <f t="shared" si="4"/>
        <v>72.13531578590786</v>
      </c>
      <c r="V40" s="34"/>
      <c r="W40" s="34">
        <v>68</v>
      </c>
      <c r="X40" s="34">
        <v>7</v>
      </c>
      <c r="Y40" s="34"/>
      <c r="Z40" s="34"/>
      <c r="AA40" s="34"/>
      <c r="AB40" s="34"/>
      <c r="AC40" s="34">
        <v>52</v>
      </c>
      <c r="AD40" s="34">
        <v>2.5</v>
      </c>
      <c r="AE40" s="34"/>
      <c r="AF40" s="34"/>
      <c r="AG40" s="34"/>
      <c r="AH40" s="34"/>
      <c r="AI40" s="34"/>
      <c r="AJ40" s="34"/>
    </row>
    <row r="41" spans="3:36" ht="12" customHeight="1">
      <c r="C41" s="7" t="s">
        <v>256</v>
      </c>
      <c r="D41" s="6">
        <v>100</v>
      </c>
      <c r="E41" s="5" t="s">
        <v>113</v>
      </c>
      <c r="G41" s="7" t="s">
        <v>206</v>
      </c>
      <c r="H41" s="16">
        <f>H40*L47/1000</f>
        <v>1.9738193955978578</v>
      </c>
      <c r="I41" s="7" t="s">
        <v>207</v>
      </c>
      <c r="K41" s="7" t="s">
        <v>208</v>
      </c>
      <c r="L41" s="23">
        <f>L40-H42</f>
        <v>281.0102875338753</v>
      </c>
      <c r="M41" s="7" t="s">
        <v>205</v>
      </c>
      <c r="R41" s="32">
        <v>120</v>
      </c>
      <c r="S41" s="36">
        <f t="shared" si="3"/>
        <v>34.448170731707314</v>
      </c>
      <c r="T41" s="34">
        <f t="shared" si="5"/>
        <v>158.33333333333334</v>
      </c>
      <c r="U41" s="34">
        <f t="shared" si="4"/>
        <v>67.13531578590786</v>
      </c>
      <c r="V41" s="34"/>
      <c r="W41" s="34">
        <v>87</v>
      </c>
      <c r="X41" s="34">
        <v>14</v>
      </c>
      <c r="Y41" s="34"/>
      <c r="Z41" s="34"/>
      <c r="AA41" s="34"/>
      <c r="AB41" s="34"/>
      <c r="AC41" s="34">
        <v>66</v>
      </c>
      <c r="AD41" s="34">
        <v>5.5</v>
      </c>
      <c r="AE41" s="34"/>
      <c r="AF41" s="34"/>
      <c r="AG41" s="34"/>
      <c r="AH41" s="34"/>
      <c r="AI41" s="34"/>
      <c r="AJ41" s="34"/>
    </row>
    <row r="42" spans="3:36" ht="12" customHeight="1">
      <c r="C42" s="5" t="s">
        <v>209</v>
      </c>
      <c r="D42" s="6">
        <v>0.75</v>
      </c>
      <c r="E42" s="7" t="s">
        <v>127</v>
      </c>
      <c r="G42" s="7" t="s">
        <v>210</v>
      </c>
      <c r="H42" s="12">
        <f>L47*D41/1000</f>
        <v>14.049268292682925</v>
      </c>
      <c r="I42" s="7" t="s">
        <v>170</v>
      </c>
      <c r="K42" s="7" t="s">
        <v>211</v>
      </c>
      <c r="L42" s="8">
        <f>L41+L44</f>
        <v>277.2602875338753</v>
      </c>
      <c r="M42" s="7" t="s">
        <v>212</v>
      </c>
      <c r="R42" s="32">
        <v>140</v>
      </c>
      <c r="S42" s="36">
        <f t="shared" si="3"/>
        <v>34.448170731707314</v>
      </c>
      <c r="T42" s="34">
        <f t="shared" si="5"/>
        <v>135.71428571428572</v>
      </c>
      <c r="U42" s="34">
        <f t="shared" si="4"/>
        <v>62.135315785907856</v>
      </c>
      <c r="V42" s="34"/>
      <c r="W42" s="34">
        <v>107</v>
      </c>
      <c r="X42" s="34">
        <v>24.7</v>
      </c>
      <c r="Y42" s="34">
        <v>1</v>
      </c>
      <c r="Z42" s="34"/>
      <c r="AA42" s="34"/>
      <c r="AB42" s="34"/>
      <c r="AC42" s="34">
        <v>80.5</v>
      </c>
      <c r="AD42" s="34">
        <v>10</v>
      </c>
      <c r="AE42" s="34"/>
      <c r="AF42" s="34"/>
      <c r="AG42" s="34"/>
      <c r="AH42" s="34"/>
      <c r="AI42" s="34"/>
      <c r="AJ42" s="34"/>
    </row>
    <row r="43" spans="3:36" ht="12" customHeight="1">
      <c r="C43" s="5" t="s">
        <v>242</v>
      </c>
      <c r="D43" s="24">
        <v>5</v>
      </c>
      <c r="E43" s="5" t="s">
        <v>35</v>
      </c>
      <c r="G43" s="7" t="s">
        <v>213</v>
      </c>
      <c r="H43" s="16">
        <f>H42*L47/1000</f>
        <v>1.9738193955978578</v>
      </c>
      <c r="I43" s="7" t="s">
        <v>214</v>
      </c>
      <c r="K43" s="7" t="s">
        <v>215</v>
      </c>
      <c r="L43" s="8">
        <f>L42-H44</f>
        <v>264.57028753387533</v>
      </c>
      <c r="M43" s="7" t="s">
        <v>121</v>
      </c>
      <c r="R43" s="32">
        <v>160</v>
      </c>
      <c r="S43" s="36">
        <f t="shared" si="3"/>
        <v>34.448170731707314</v>
      </c>
      <c r="T43" s="34">
        <f t="shared" si="5"/>
        <v>118.75</v>
      </c>
      <c r="U43" s="34">
        <f t="shared" si="4"/>
        <v>57.135315785907856</v>
      </c>
      <c r="V43" s="34"/>
      <c r="W43" s="34"/>
      <c r="X43" s="34">
        <v>37</v>
      </c>
      <c r="Y43" s="34">
        <v>3.2</v>
      </c>
      <c r="Z43" s="34"/>
      <c r="AA43" s="34"/>
      <c r="AB43" s="34"/>
      <c r="AC43" s="34">
        <v>95</v>
      </c>
      <c r="AD43" s="34">
        <v>17</v>
      </c>
      <c r="AE43" s="34"/>
      <c r="AF43" s="34"/>
      <c r="AG43" s="34"/>
      <c r="AH43" s="34"/>
      <c r="AI43" s="34"/>
      <c r="AJ43" s="34"/>
    </row>
    <row r="44" spans="3:36" ht="12" customHeight="1">
      <c r="C44" s="7" t="s">
        <v>216</v>
      </c>
      <c r="D44" s="25">
        <v>4.7</v>
      </c>
      <c r="E44" s="7" t="s">
        <v>162</v>
      </c>
      <c r="G44" s="7" t="s">
        <v>217</v>
      </c>
      <c r="H44" s="8">
        <f>(L46+D45)*D44</f>
        <v>12.69</v>
      </c>
      <c r="I44" s="7" t="s">
        <v>170</v>
      </c>
      <c r="K44" s="5" t="s">
        <v>218</v>
      </c>
      <c r="L44" s="16">
        <f>(D43*D42)*-1</f>
        <v>-3.75</v>
      </c>
      <c r="M44" s="7" t="s">
        <v>121</v>
      </c>
      <c r="R44" s="32">
        <v>180</v>
      </c>
      <c r="S44" s="36">
        <f t="shared" si="3"/>
        <v>34.448170731707314</v>
      </c>
      <c r="T44" s="34">
        <f t="shared" si="5"/>
        <v>105.55555555555556</v>
      </c>
      <c r="U44" s="34">
        <f t="shared" si="4"/>
        <v>52.135315785907856</v>
      </c>
      <c r="V44" s="34"/>
      <c r="W44" s="34"/>
      <c r="X44" s="34">
        <v>54</v>
      </c>
      <c r="Y44" s="34">
        <v>6.8</v>
      </c>
      <c r="Z44" s="34"/>
      <c r="AA44" s="34"/>
      <c r="AB44" s="34"/>
      <c r="AC44" s="34"/>
      <c r="AD44" s="34">
        <v>25.5</v>
      </c>
      <c r="AE44" s="34"/>
      <c r="AF44" s="34"/>
      <c r="AG44" s="34"/>
      <c r="AH44" s="34"/>
      <c r="AI44" s="34"/>
      <c r="AJ44" s="34"/>
    </row>
    <row r="45" spans="3:36" ht="12" customHeight="1">
      <c r="C45" s="7" t="s">
        <v>219</v>
      </c>
      <c r="D45" s="6">
        <v>0.42</v>
      </c>
      <c r="E45" s="7" t="s">
        <v>220</v>
      </c>
      <c r="G45" s="7" t="s">
        <v>221</v>
      </c>
      <c r="H45" s="26">
        <f>L43/D45</f>
        <v>629.9292560330365</v>
      </c>
      <c r="I45" s="7" t="s">
        <v>156</v>
      </c>
      <c r="K45" s="5" t="s">
        <v>222</v>
      </c>
      <c r="L45" s="12">
        <f>H16*2</f>
        <v>137.79268292682926</v>
      </c>
      <c r="M45" s="7" t="s">
        <v>223</v>
      </c>
      <c r="R45" s="32">
        <v>200</v>
      </c>
      <c r="S45" s="36">
        <f t="shared" si="3"/>
        <v>34.448170731707314</v>
      </c>
      <c r="T45" s="34">
        <f t="shared" si="5"/>
        <v>95</v>
      </c>
      <c r="U45" s="34">
        <f t="shared" si="4"/>
        <v>47.135315785907856</v>
      </c>
      <c r="V45" s="34"/>
      <c r="W45" s="34"/>
      <c r="X45" s="34">
        <v>71</v>
      </c>
      <c r="Y45" s="34">
        <v>13.2</v>
      </c>
      <c r="Z45" s="34">
        <v>0.8</v>
      </c>
      <c r="AA45" s="34"/>
      <c r="AB45" s="34"/>
      <c r="AC45" s="34"/>
      <c r="AD45" s="34">
        <v>37</v>
      </c>
      <c r="AE45" s="34">
        <v>1</v>
      </c>
      <c r="AF45" s="34"/>
      <c r="AG45" s="34"/>
      <c r="AH45" s="34"/>
      <c r="AI45" s="34"/>
      <c r="AJ45" s="34"/>
    </row>
    <row r="46" spans="7:36" ht="12" customHeight="1">
      <c r="G46" s="7" t="s">
        <v>224</v>
      </c>
      <c r="H46" s="27">
        <f>L43*D45/1000</f>
        <v>0.11111952076422763</v>
      </c>
      <c r="I46" s="7" t="s">
        <v>134</v>
      </c>
      <c r="K46" s="5" t="s">
        <v>225</v>
      </c>
      <c r="L46" s="13">
        <f>D7*2</f>
        <v>2.28</v>
      </c>
      <c r="M46" s="7" t="s">
        <v>38</v>
      </c>
      <c r="R46" s="32">
        <v>220</v>
      </c>
      <c r="S46" s="36">
        <f t="shared" si="3"/>
        <v>34.448170731707314</v>
      </c>
      <c r="T46" s="34">
        <f t="shared" si="5"/>
        <v>86.36363636363636</v>
      </c>
      <c r="U46" s="34">
        <f t="shared" si="4"/>
        <v>42.135315785907856</v>
      </c>
      <c r="V46" s="34"/>
      <c r="W46" s="34"/>
      <c r="X46" s="34"/>
      <c r="Y46" s="34">
        <v>22</v>
      </c>
      <c r="Z46" s="34">
        <v>2.8</v>
      </c>
      <c r="AA46" s="34"/>
      <c r="AB46" s="34"/>
      <c r="AC46" s="34"/>
      <c r="AD46" s="34">
        <v>49</v>
      </c>
      <c r="AE46" s="34">
        <v>5</v>
      </c>
      <c r="AF46" s="34"/>
      <c r="AG46" s="34"/>
      <c r="AH46" s="34"/>
      <c r="AI46" s="34"/>
      <c r="AJ46" s="34"/>
    </row>
    <row r="47" spans="2:36" ht="12" customHeight="1">
      <c r="B47" s="18" t="s">
        <v>226</v>
      </c>
      <c r="C47" s="7" t="s">
        <v>105</v>
      </c>
      <c r="D47" s="6">
        <v>100</v>
      </c>
      <c r="E47" s="5" t="s">
        <v>106</v>
      </c>
      <c r="K47" s="5" t="s">
        <v>227</v>
      </c>
      <c r="L47" s="8">
        <f>L45+L46+D45</f>
        <v>140.49268292682925</v>
      </c>
      <c r="M47" s="7" t="s">
        <v>26</v>
      </c>
      <c r="R47" s="32">
        <v>240</v>
      </c>
      <c r="S47" s="36">
        <f t="shared" si="3"/>
        <v>34.448170731707314</v>
      </c>
      <c r="T47" s="34">
        <f t="shared" si="5"/>
        <v>79.16666666666667</v>
      </c>
      <c r="U47" s="34">
        <f t="shared" si="4"/>
        <v>37.135315785907856</v>
      </c>
      <c r="V47" s="34"/>
      <c r="W47" s="34"/>
      <c r="X47" s="34"/>
      <c r="Y47" s="34">
        <v>32.3</v>
      </c>
      <c r="Z47" s="34">
        <v>6.2</v>
      </c>
      <c r="AA47" s="34"/>
      <c r="AB47" s="34"/>
      <c r="AC47" s="34"/>
      <c r="AD47" s="34">
        <v>62</v>
      </c>
      <c r="AE47" s="34">
        <v>9</v>
      </c>
      <c r="AF47" s="34"/>
      <c r="AG47" s="34"/>
      <c r="AH47" s="34"/>
      <c r="AI47" s="34"/>
      <c r="AJ47" s="34"/>
    </row>
    <row r="48" spans="18:36" ht="12" customHeight="1">
      <c r="R48" s="32">
        <v>260</v>
      </c>
      <c r="S48" s="36">
        <f t="shared" si="3"/>
        <v>34.448170731707314</v>
      </c>
      <c r="T48" s="34">
        <f t="shared" si="5"/>
        <v>73.07692307692308</v>
      </c>
      <c r="U48" s="34">
        <f t="shared" si="4"/>
        <v>32.135315785907856</v>
      </c>
      <c r="V48" s="34"/>
      <c r="W48" s="34"/>
      <c r="X48" s="34"/>
      <c r="Y48" s="34">
        <v>44</v>
      </c>
      <c r="Z48" s="34">
        <v>10.7</v>
      </c>
      <c r="AA48" s="34">
        <v>0.8</v>
      </c>
      <c r="AB48" s="34"/>
      <c r="AC48" s="34"/>
      <c r="AD48" s="34">
        <v>77</v>
      </c>
      <c r="AE48" s="34">
        <v>15</v>
      </c>
      <c r="AF48" s="34"/>
      <c r="AG48" s="34"/>
      <c r="AH48" s="34"/>
      <c r="AI48" s="34"/>
      <c r="AJ48" s="34"/>
    </row>
    <row r="49" spans="18:36" ht="12" customHeight="1">
      <c r="R49" s="32">
        <v>280</v>
      </c>
      <c r="S49" s="36">
        <f t="shared" si="3"/>
        <v>34.448170731707314</v>
      </c>
      <c r="T49" s="34">
        <f t="shared" si="5"/>
        <v>67.85714285714286</v>
      </c>
      <c r="U49" s="34">
        <f t="shared" si="4"/>
        <v>27.135315785907856</v>
      </c>
      <c r="V49" s="34"/>
      <c r="W49" s="34"/>
      <c r="X49" s="34"/>
      <c r="Y49" s="34">
        <v>55.5</v>
      </c>
      <c r="Z49" s="34">
        <v>16</v>
      </c>
      <c r="AA49" s="34">
        <v>2.4</v>
      </c>
      <c r="AB49" s="34"/>
      <c r="AC49" s="34"/>
      <c r="AD49" s="34"/>
      <c r="AE49" s="34">
        <v>22.5</v>
      </c>
      <c r="AF49" s="34"/>
      <c r="AG49" s="34"/>
      <c r="AH49" s="34"/>
      <c r="AI49" s="34"/>
      <c r="AJ49" s="34"/>
    </row>
    <row r="50" spans="18:36" ht="12" customHeight="1">
      <c r="R50" s="32">
        <v>300</v>
      </c>
      <c r="S50" s="36">
        <f t="shared" si="3"/>
        <v>34.448170731707314</v>
      </c>
      <c r="T50" s="34">
        <f t="shared" si="5"/>
        <v>63.333333333333336</v>
      </c>
      <c r="U50" s="34">
        <f t="shared" si="4"/>
        <v>22.135315785907856</v>
      </c>
      <c r="V50" s="34"/>
      <c r="W50" s="34"/>
      <c r="X50" s="34"/>
      <c r="Y50" s="34"/>
      <c r="Z50" s="34">
        <v>22</v>
      </c>
      <c r="AA50" s="34">
        <v>4.9</v>
      </c>
      <c r="AB50" s="34"/>
      <c r="AC50" s="34"/>
      <c r="AD50" s="34"/>
      <c r="AE50" s="34">
        <v>30</v>
      </c>
      <c r="AF50" s="34">
        <v>2</v>
      </c>
      <c r="AG50" s="34"/>
      <c r="AH50" s="34"/>
      <c r="AI50" s="34"/>
      <c r="AJ50" s="34"/>
    </row>
    <row r="51" spans="18:36" ht="12" customHeight="1">
      <c r="R51" s="32">
        <v>320</v>
      </c>
      <c r="S51" s="36">
        <f t="shared" si="3"/>
        <v>34.448170731707314</v>
      </c>
      <c r="T51" s="34">
        <f t="shared" si="5"/>
        <v>59.375</v>
      </c>
      <c r="U51" s="34">
        <f t="shared" si="4"/>
        <v>17.135315785907856</v>
      </c>
      <c r="V51" s="34"/>
      <c r="W51" s="34"/>
      <c r="X51" s="34"/>
      <c r="Y51" s="34"/>
      <c r="Z51" s="34">
        <v>29.5</v>
      </c>
      <c r="AA51" s="34">
        <v>8.4</v>
      </c>
      <c r="AB51" s="34">
        <v>0.7</v>
      </c>
      <c r="AC51" s="34"/>
      <c r="AD51" s="34"/>
      <c r="AE51" s="34">
        <v>40</v>
      </c>
      <c r="AF51" s="34">
        <v>6</v>
      </c>
      <c r="AG51" s="34"/>
      <c r="AH51" s="34"/>
      <c r="AI51" s="34"/>
      <c r="AJ51" s="34"/>
    </row>
    <row r="52" spans="18:36" ht="12" customHeight="1">
      <c r="R52" s="32">
        <v>340</v>
      </c>
      <c r="S52" s="36">
        <f t="shared" si="3"/>
        <v>34.448170731707314</v>
      </c>
      <c r="T52" s="34">
        <f t="shared" si="5"/>
        <v>55.88235294117647</v>
      </c>
      <c r="U52" s="34">
        <f t="shared" si="4"/>
        <v>12.135315785907856</v>
      </c>
      <c r="V52" s="34"/>
      <c r="W52" s="34"/>
      <c r="X52" s="34"/>
      <c r="Y52" s="34"/>
      <c r="Z52" s="34">
        <v>37.5</v>
      </c>
      <c r="AA52" s="34">
        <v>13.5</v>
      </c>
      <c r="AB52" s="34">
        <v>2.1</v>
      </c>
      <c r="AC52" s="34"/>
      <c r="AD52" s="34"/>
      <c r="AE52" s="34">
        <v>51</v>
      </c>
      <c r="AF52" s="34">
        <v>11</v>
      </c>
      <c r="AG52" s="34"/>
      <c r="AH52" s="34"/>
      <c r="AI52" s="34"/>
      <c r="AJ52" s="34"/>
    </row>
    <row r="53" spans="18:36" ht="12" customHeight="1">
      <c r="R53" s="32">
        <v>360</v>
      </c>
      <c r="S53" s="36">
        <f t="shared" si="3"/>
        <v>34.448170731707314</v>
      </c>
      <c r="T53" s="34">
        <f t="shared" si="5"/>
        <v>52.77777777777778</v>
      </c>
      <c r="U53" s="34">
        <f t="shared" si="4"/>
        <v>7.135315785907856</v>
      </c>
      <c r="V53" s="34"/>
      <c r="W53" s="34"/>
      <c r="X53" s="34"/>
      <c r="Y53" s="34"/>
      <c r="Z53" s="34"/>
      <c r="AA53" s="34">
        <v>18.7</v>
      </c>
      <c r="AB53" s="34">
        <v>4.2</v>
      </c>
      <c r="AC53" s="34"/>
      <c r="AD53" s="34"/>
      <c r="AE53" s="34"/>
      <c r="AF53" s="34">
        <v>17</v>
      </c>
      <c r="AG53" s="34"/>
      <c r="AH53" s="34"/>
      <c r="AI53" s="34"/>
      <c r="AJ53" s="34"/>
    </row>
    <row r="54" spans="18:36" ht="12" customHeight="1">
      <c r="R54" s="32">
        <v>380</v>
      </c>
      <c r="S54" s="36">
        <f t="shared" si="3"/>
        <v>34.448170731707314</v>
      </c>
      <c r="T54" s="34">
        <f t="shared" si="5"/>
        <v>50</v>
      </c>
      <c r="U54" s="34">
        <f t="shared" si="4"/>
        <v>2.1353157859078564</v>
      </c>
      <c r="V54" s="34"/>
      <c r="W54" s="34"/>
      <c r="X54" s="34"/>
      <c r="Y54" s="34"/>
      <c r="Z54" s="34"/>
      <c r="AA54" s="34">
        <v>24.4</v>
      </c>
      <c r="AB54" s="34">
        <v>6.8</v>
      </c>
      <c r="AC54" s="34"/>
      <c r="AD54" s="34"/>
      <c r="AE54" s="34"/>
      <c r="AF54" s="34">
        <v>22.5</v>
      </c>
      <c r="AG54" s="34"/>
      <c r="AH54" s="34"/>
      <c r="AI54" s="34"/>
      <c r="AJ54" s="34"/>
    </row>
    <row r="55" spans="18:36" ht="12" customHeight="1">
      <c r="R55" s="32">
        <v>400</v>
      </c>
      <c r="S55" s="36">
        <f t="shared" si="3"/>
        <v>34.448170731707314</v>
      </c>
      <c r="T55" s="34">
        <f t="shared" si="5"/>
        <v>47.5</v>
      </c>
      <c r="U55" s="34">
        <f t="shared" si="4"/>
        <v>-2.8646842140921436</v>
      </c>
      <c r="V55" s="34"/>
      <c r="W55" s="34"/>
      <c r="X55" s="34"/>
      <c r="Y55" s="34"/>
      <c r="Z55" s="34"/>
      <c r="AA55" s="34"/>
      <c r="AB55" s="34">
        <v>10.1</v>
      </c>
      <c r="AC55" s="34"/>
      <c r="AD55" s="34"/>
      <c r="AE55" s="34"/>
      <c r="AF55" s="34">
        <v>29</v>
      </c>
      <c r="AG55" s="34">
        <v>2</v>
      </c>
      <c r="AH55" s="34"/>
      <c r="AI55" s="34"/>
      <c r="AJ55" s="34"/>
    </row>
    <row r="56" spans="18:36" ht="12" customHeight="1">
      <c r="R56" s="32">
        <v>420</v>
      </c>
      <c r="S56" s="36"/>
      <c r="T56" s="34">
        <f t="shared" si="5"/>
        <v>45.23809523809524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5</v>
      </c>
      <c r="AH56" s="34"/>
      <c r="AI56" s="34"/>
      <c r="AJ56" s="34"/>
    </row>
    <row r="57" spans="18:36" ht="12" customHeight="1">
      <c r="R57" s="32">
        <v>440</v>
      </c>
      <c r="S57" s="36"/>
      <c r="T57" s="34">
        <f t="shared" si="5"/>
        <v>43.18181818181818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>
        <v>8.5</v>
      </c>
      <c r="AH57" s="34"/>
      <c r="AI57" s="34"/>
      <c r="AJ57" s="34"/>
    </row>
    <row r="58" spans="18:36" ht="12" customHeight="1"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8:36" ht="12" customHeight="1">
      <c r="R59" s="51">
        <f>L17</f>
        <v>250.74858021680217</v>
      </c>
      <c r="S59" s="34"/>
      <c r="T59" s="34"/>
      <c r="U59" s="34"/>
      <c r="V59" s="36">
        <f>H17</f>
        <v>34.448170731707314</v>
      </c>
      <c r="W59" s="34"/>
      <c r="X59" s="34"/>
      <c r="Y59" s="34"/>
      <c r="Z59" s="34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0:21" ht="12" customHeight="1">
      <c r="T60" s="34"/>
      <c r="U60" s="36">
        <f>D23/2</f>
        <v>4</v>
      </c>
    </row>
    <row r="61" spans="20:26" ht="12" customHeight="1">
      <c r="T61" s="37"/>
      <c r="U61" s="36">
        <f>R59</f>
        <v>250.74858021680217</v>
      </c>
      <c r="V61" s="30"/>
      <c r="W61" s="30"/>
      <c r="X61" s="30"/>
      <c r="Y61" s="30"/>
      <c r="Z61" s="30"/>
    </row>
    <row r="63" ht="12" customHeight="1">
      <c r="S63" s="31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BeaconIT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 Kimura</dc:creator>
  <cp:keywords/>
  <dc:description/>
  <cp:lastModifiedBy>Tetsu Kimura</cp:lastModifiedBy>
  <cp:lastPrinted>2002-10-15T08:04:00Z</cp:lastPrinted>
  <dcterms:created xsi:type="dcterms:W3CDTF">2002-08-13T13:09:21Z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